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923" firstSheet="8" activeTab="8"/>
  </bookViews>
  <sheets>
    <sheet name="пояснения" sheetId="1" state="hidden" r:id="rId1"/>
    <sheet name="Лист3" sheetId="2" state="hidden" r:id="rId2"/>
    <sheet name="Лист2" sheetId="3" state="hidden" r:id="rId3"/>
    <sheet name="нормозатраты" sheetId="4" state="hidden" r:id="rId4"/>
    <sheet name="Пр.1Титульный лист" sheetId="5" state="hidden" r:id="rId5"/>
    <sheet name="Титульный лист новый" sheetId="6" state="hidden" r:id="rId6"/>
    <sheet name="Раздел 1. Поступления и выплаты" sheetId="7" state="hidden" r:id="rId7"/>
    <sheet name="Раздел 2. Сведения по выплатам" sheetId="8" state="hidden" r:id="rId8"/>
    <sheet name="Местный бюджет" sheetId="9" r:id="rId9"/>
    <sheet name="Местный бюджет (ПФДО)" sheetId="10" state="hidden" r:id="rId10"/>
    <sheet name="Областной бюджет" sheetId="11" r:id="rId11"/>
    <sheet name="Лист4" sheetId="12" state="hidden" r:id="rId12"/>
    <sheet name="Иные цели" sheetId="13" r:id="rId13"/>
    <sheet name="Лист1" sheetId="14" state="hidden" r:id="rId14"/>
    <sheet name="Внебюджет" sheetId="15" r:id="rId15"/>
    <sheet name="Обоснования (расчеты) по поступ" sheetId="16" r:id="rId16"/>
  </sheets>
  <definedNames>
    <definedName name="_xlnm.Print_Area" localSheetId="14">'Внебюджет'!$A$5:$G$524</definedName>
    <definedName name="_xlnm.Print_Area" localSheetId="12">'Иные цели'!$A$1:$H$575</definedName>
    <definedName name="_xlnm.Print_Area" localSheetId="8">'Местный бюджет'!$A$5:$H$552</definedName>
    <definedName name="_xlnm.Print_Area" localSheetId="9">'Местный бюджет (ПФДО)'!$A$5:$H$54</definedName>
    <definedName name="_xlnm.Print_Area" localSheetId="10">'Областной бюджет'!$A$1:$H$550</definedName>
    <definedName name="_xlnm.Print_Area" localSheetId="15">'Обоснования (расчеты) по поступ'!$A$1:$G$214</definedName>
    <definedName name="_xlnm.Print_Area" localSheetId="6">'Раздел 1. Поступления и выплаты'!$A$1:$H$349</definedName>
    <definedName name="_xlnm.Print_Area" localSheetId="7">'Раздел 2. Сведения по выплатам'!$A$1:$K$46</definedName>
  </definedNames>
  <calcPr fullCalcOnLoad="1"/>
</workbook>
</file>

<file path=xl/sharedStrings.xml><?xml version="1.0" encoding="utf-8"?>
<sst xmlns="http://schemas.openxmlformats.org/spreadsheetml/2006/main" count="5032" uniqueCount="990">
  <si>
    <t>Наименование показателя</t>
  </si>
  <si>
    <t>Всего</t>
  </si>
  <si>
    <t>Услуги связи</t>
  </si>
  <si>
    <t>Коммунальные услуги</t>
  </si>
  <si>
    <t>Прочие работы, услуги</t>
  </si>
  <si>
    <t>Увеличение стоимости основных средств</t>
  </si>
  <si>
    <t>в том числе</t>
  </si>
  <si>
    <t>КОД строки</t>
  </si>
  <si>
    <t>Объем Финансового обеспечения, руб.</t>
  </si>
  <si>
    <t>Код по бюджетной классификации Российской Федерации</t>
  </si>
  <si>
    <t>Транспортные услуги</t>
  </si>
  <si>
    <t>Увеличение стоимости мягкого инвентаря</t>
  </si>
  <si>
    <t>Увеличение стоимости прочих оборотных запасов (материалов)</t>
  </si>
  <si>
    <t>к Плану финансово-хозяйственной деятельности</t>
  </si>
  <si>
    <t>Фонд оплаты труда по штатному расписанию, руб.</t>
  </si>
  <si>
    <t>Фонд оплаты труда в год, руб.</t>
  </si>
  <si>
    <t>в месяц</t>
  </si>
  <si>
    <t>в год</t>
  </si>
  <si>
    <t>Итого</t>
  </si>
  <si>
    <t>Фонд оплаты труда согласно положению об оплате труда, руб.</t>
  </si>
  <si>
    <t>Фонд оплаты труда по тарификации, руб.</t>
  </si>
  <si>
    <t>Наименование государственного внебюджетного фонда</t>
  </si>
  <si>
    <t>Размер базы для начисления страховых взносов, руб.</t>
  </si>
  <si>
    <t>Сумма взноса, руб.</t>
  </si>
  <si>
    <t>1.1.</t>
  </si>
  <si>
    <t>1.2.</t>
  </si>
  <si>
    <t>1.3.</t>
  </si>
  <si>
    <t>Страховые взносы в Фонд социального страхования Российской Федерации, в том числе:</t>
  </si>
  <si>
    <t>2.1.</t>
  </si>
  <si>
    <t>2.2.</t>
  </si>
  <si>
    <t>2.3.</t>
  </si>
  <si>
    <t>2.4.</t>
  </si>
  <si>
    <t>2.5.</t>
  </si>
  <si>
    <t>№ п/п</t>
  </si>
  <si>
    <t>Страховые взносы в Пенсионный фонд Российской Федерации, в том числе</t>
  </si>
  <si>
    <t>х</t>
  </si>
  <si>
    <t xml:space="preserve">      по ставке 22,0%</t>
  </si>
  <si>
    <t xml:space="preserve">      по ставке 10,0%</t>
  </si>
  <si>
    <t>3.</t>
  </si>
  <si>
    <t>Страховые взносы в Федеральный фонд обязательного медицинского страхования по ставке 5,1%</t>
  </si>
  <si>
    <t>Наименование расходов</t>
  </si>
  <si>
    <t>Налоговая база, руб.</t>
  </si>
  <si>
    <t>Ставка налога, %</t>
  </si>
  <si>
    <t>Сумма исчисленного налога, подлежащего уплате, руб.</t>
  </si>
  <si>
    <t>Количество номеров</t>
  </si>
  <si>
    <t>Количество платежей в год</t>
  </si>
  <si>
    <t>Стоимость за единицу, руб.</t>
  </si>
  <si>
    <t>Сумма, руб.</t>
  </si>
  <si>
    <t>Тариф (с учетом НДС), руб.</t>
  </si>
  <si>
    <t>Индексация, %</t>
  </si>
  <si>
    <t>Объект</t>
  </si>
  <si>
    <t>Количество работ (услуг)</t>
  </si>
  <si>
    <t>Единица измерения</t>
  </si>
  <si>
    <t>Стоимость услуги, руб.</t>
  </si>
  <si>
    <t>Количество</t>
  </si>
  <si>
    <t>Средняя стоимость, руб.</t>
  </si>
  <si>
    <t>ИТОГО по ст. 346</t>
  </si>
  <si>
    <t>ИТОГО по ст. 310</t>
  </si>
  <si>
    <t>ИТОГО по ст. 349</t>
  </si>
  <si>
    <t>ИТОГО по ст. 345</t>
  </si>
  <si>
    <t>ИТОГО по ст. 227</t>
  </si>
  <si>
    <t>Страхование</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</si>
  <si>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</si>
  <si>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</si>
  <si>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ГСМ</t>
  </si>
  <si>
    <t>Увеличение стоимости строительных материалов</t>
  </si>
  <si>
    <t>Увеличение стоимости прочих материальных запасов однократного применения</t>
  </si>
  <si>
    <t>Арендная плата за пользование имуществом</t>
  </si>
  <si>
    <t>Работы, услуги по содержанию имущества</t>
  </si>
  <si>
    <t>ИТОГО по ст. 225</t>
  </si>
  <si>
    <t>ИТОГО по ст. 221</t>
  </si>
  <si>
    <t>ИТОГО по ст. 226</t>
  </si>
  <si>
    <t>ИТОГО по ст. 213</t>
  </si>
  <si>
    <t>ИТОГО по ст. 223</t>
  </si>
  <si>
    <t>ИТОГО по ст. 228</t>
  </si>
  <si>
    <t>Услуги, работы для целей капитальных вложений</t>
  </si>
  <si>
    <t>обязательное социальное страхование от несчастных случаев на производстве и профессиональных заболеваний по ставке 0,2%</t>
  </si>
  <si>
    <t>с применением пониженных тарифов взносов в Пенсионный фонд Российской Федерации для отдельных категорий плательщиков</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</si>
  <si>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</si>
  <si>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</si>
  <si>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0 %</t>
  </si>
  <si>
    <t>местный бюджет</t>
  </si>
  <si>
    <t>областной бюджет</t>
  </si>
  <si>
    <t>Социальные и иные выплаты населению, всего</t>
  </si>
  <si>
    <t>Размер потребления ресурсов</t>
  </si>
  <si>
    <t xml:space="preserve">Субсидии на финансовое обеспечение выполнения  МЗ </t>
  </si>
  <si>
    <t xml:space="preserve">Субсидий на осуществление капитальных вложений в объекты кап. строительства гос. (мун.) собственности </t>
  </si>
  <si>
    <t>Субсидий, предусмотренные абзацем вторым пункта 1 статьи 78.1 БК РФ</t>
  </si>
  <si>
    <t>0001</t>
  </si>
  <si>
    <t>Остаток средств на начало текущего года</t>
  </si>
  <si>
    <t>Остаток средств на конец текущего года</t>
  </si>
  <si>
    <t>0002</t>
  </si>
  <si>
    <t>Доходы, всего:</t>
  </si>
  <si>
    <t>1000</t>
  </si>
  <si>
    <t>1100</t>
  </si>
  <si>
    <t>1200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</si>
  <si>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</si>
  <si>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</si>
  <si>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</si>
  <si>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1300</t>
  </si>
  <si>
    <t>в том числе:</t>
  </si>
  <si>
    <t>1310</t>
  </si>
  <si>
    <t>1400</t>
  </si>
  <si>
    <t>1500</t>
  </si>
  <si>
    <t>1510</t>
  </si>
  <si>
    <t>Прочие доходы, всего</t>
  </si>
  <si>
    <t>Безвозмездные денежные поступления, всего</t>
  </si>
  <si>
    <t>1520</t>
  </si>
  <si>
    <t>Доходы от операций с активами, всего</t>
  </si>
  <si>
    <t>1900</t>
  </si>
  <si>
    <t>1980</t>
  </si>
  <si>
    <t>из них:</t>
  </si>
  <si>
    <t>1981</t>
  </si>
  <si>
    <t>Доходы от штрафов, пеней, иных сумм принудительного изъятия, всего</t>
  </si>
  <si>
    <t>Доходы от оказания услуг, работ, компенсации затрат учреждений, всего</t>
  </si>
  <si>
    <t>Расходы, всего:</t>
  </si>
  <si>
    <t xml:space="preserve">Поступления от оказания услуг (выполнения работ) на платной основе и от иной приносящей доход деятельности </t>
  </si>
  <si>
    <t>2000</t>
  </si>
  <si>
    <t>2100</t>
  </si>
  <si>
    <t>2110</t>
  </si>
  <si>
    <t>2120</t>
  </si>
  <si>
    <t>взносы по обязательному социальному страхованию на выплаты по оплате труда работников и иные выплаты работникам учреждений, всего</t>
  </si>
  <si>
    <t>2140</t>
  </si>
  <si>
    <t>2200</t>
  </si>
  <si>
    <t>выплата стипендий, осуществление иных расходов на социальную поддержку обучающихся за счет средств стипендиального фонда</t>
  </si>
  <si>
    <t>2220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</si>
  <si>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</si>
  <si>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</si>
  <si>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социальное обеспечение детей-сирот и детей, оставшихся без попечения родителей</t>
  </si>
  <si>
    <t>2240</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</si>
  <si>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</si>
  <si>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</si>
  <si>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</si>
  <si>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</si>
  <si>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</si>
  <si>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</si>
  <si>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</si>
  <si>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</si>
  <si>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</si>
  <si>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2410</t>
  </si>
  <si>
    <t>из них:
гранты, предоставляемые другим организациям и физическим лицам</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</si>
  <si>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</si>
  <si>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</si>
  <si>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</si>
  <si>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</si>
  <si>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Расходы на закупку товаров, работ, услуг, всего</t>
  </si>
  <si>
    <t>2600</t>
  </si>
  <si>
    <t>в том числе:
закупку научно-исследовательских и опытно-конструкторских работ</t>
  </si>
  <si>
    <t>2610</t>
  </si>
  <si>
    <t>закупку товаров, работ, услуг в сфере информационно-коммуникационных технологий</t>
  </si>
  <si>
    <t>2620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</si>
  <si>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</si>
  <si>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</si>
  <si>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</si>
  <si>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</si>
  <si>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2650</t>
  </si>
  <si>
    <t>в том числе:
приобретение объектов недвижимого имущества государственными (муниципальными) учреждениями</t>
  </si>
  <si>
    <t>2651</t>
  </si>
  <si>
    <t>строительство (реконструкция) объектов недвижимого имущества государственными (муниципальными) учреждениями</t>
  </si>
  <si>
    <t>2652</t>
  </si>
  <si>
    <t xml:space="preserve">Выплаты, уменьшающие доход, всего </t>
  </si>
  <si>
    <t>3000</t>
  </si>
  <si>
    <t>3010</t>
  </si>
  <si>
    <t xml:space="preserve">в том числе:
налог на прибыль </t>
  </si>
  <si>
    <t xml:space="preserve">налог на добавленную стоимость </t>
  </si>
  <si>
    <t>3020</t>
  </si>
  <si>
    <t xml:space="preserve">прочие налоги, уменьшающие доход </t>
  </si>
  <si>
    <t>3030</t>
  </si>
  <si>
    <t xml:space="preserve">Прочие выплаты, всего </t>
  </si>
  <si>
    <t>4000</t>
  </si>
  <si>
    <t>из них:
возврат в бюджет средств субсидии</t>
  </si>
  <si>
    <t>4010</t>
  </si>
  <si>
    <t>по коду цели  2…………………..</t>
  </si>
  <si>
    <t>Увеличение остатков денежных средств за счет возврата дебиторской задолженности прошлых лет</t>
  </si>
  <si>
    <t>Капитальные вложения в объекты государственной (муниципальной) собственности, всего</t>
  </si>
  <si>
    <t>и т.д.</t>
  </si>
  <si>
    <t>Раздел 2. Сведения по выплатам на закупки товаров, работ, услуг</t>
  </si>
  <si>
    <t>№п/п</t>
  </si>
  <si>
    <t xml:space="preserve">Выплаты на закупку товаров, работ, услуг, всего </t>
  </si>
  <si>
    <t>Коды строк</t>
  </si>
  <si>
    <t>Год начала закупки</t>
  </si>
  <si>
    <t>Сумма</t>
  </si>
  <si>
    <t>за пределами планового периода</t>
  </si>
  <si>
    <t>в том числе:
за счет субсидий, предоставляемых на финансовое обеспечение выполнения муниципального задания</t>
  </si>
  <si>
    <t>1.1</t>
  </si>
  <si>
    <t>1.2</t>
  </si>
  <si>
    <t>1.3</t>
  </si>
  <si>
    <t>1.4</t>
  </si>
  <si>
    <t>1.4.1</t>
  </si>
  <si>
    <t>1.4.1.1</t>
  </si>
  <si>
    <t>1.4.1.2</t>
  </si>
  <si>
    <t>в том числе:
в соответствии с Федеральным законом N 44-ФЗ</t>
  </si>
  <si>
    <t xml:space="preserve">в соответствии с Федеральным законом N 223-ФЗ </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</si>
  <si>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</si>
  <si>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</si>
  <si>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</si>
  <si>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</si>
  <si>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</si>
  <si>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t>1.4.4</t>
  </si>
  <si>
    <t>1.4.4.1</t>
  </si>
  <si>
    <t>1.4.4.2</t>
  </si>
  <si>
    <t>за счет средств обязательного медицинского страхования</t>
  </si>
  <si>
    <t>за счет прочих источников финансового обеспечения</t>
  </si>
  <si>
    <t>в соответствии с Федеральным законом N 223-ФЗ</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</si>
  <si>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</si>
  <si>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</si>
  <si>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в том числе по году начала закупки:</t>
  </si>
  <si>
    <t>1.</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</si>
  <si>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</si>
  <si>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xml:space="preserve">Руководитель учреждения
    (уполномоченное лицо учреждения)
</t>
  </si>
  <si>
    <t>(должность)</t>
  </si>
  <si>
    <t>(подпись)</t>
  </si>
  <si>
    <t>_____________</t>
  </si>
  <si>
    <t>(расшифровка подписи)</t>
  </si>
  <si>
    <t>Исполнитель</t>
  </si>
  <si>
    <t>(фамилия, инициалы)</t>
  </si>
  <si>
    <t>(телефон)</t>
  </si>
  <si>
    <t>Приложение № 2</t>
  </si>
  <si>
    <t xml:space="preserve"> к Порядку
составления, утверждения и изменения плана финансово-хозяйственной деятельности муниципальных бюджетных и автономных учреждений Арамильского городского округа
</t>
  </si>
  <si>
    <r>
      <t xml:space="preserve">Коды видов расходов  </t>
    </r>
    <r>
      <rPr>
        <u val="single"/>
        <sz val="12"/>
        <color indexed="8"/>
        <rFont val="Liberation Serif"/>
        <family val="1"/>
      </rPr>
      <t>111, 119</t>
    </r>
  </si>
  <si>
    <r>
      <t xml:space="preserve">Коды видов расходов </t>
    </r>
    <r>
      <rPr>
        <u val="single"/>
        <sz val="12"/>
        <color indexed="8"/>
        <rFont val="Liberation Serif"/>
        <family val="1"/>
      </rPr>
      <t xml:space="preserve"> 851, 852, 853</t>
    </r>
  </si>
  <si>
    <r>
      <t xml:space="preserve">Коды видов расходов </t>
    </r>
    <r>
      <rPr>
        <u val="single"/>
        <sz val="12"/>
        <color indexed="8"/>
        <rFont val="Liberation Serif"/>
        <family val="1"/>
      </rPr>
      <t xml:space="preserve"> 244</t>
    </r>
  </si>
  <si>
    <t>ИТОГО по ст. 266</t>
  </si>
  <si>
    <t xml:space="preserve">ИТОГО </t>
  </si>
  <si>
    <t>Безвозмездн. денежные поступления из них 
Гранты</t>
  </si>
  <si>
    <t xml:space="preserve">за счет субсидий, предоставляемых на осуществление капитальных вложений </t>
  </si>
  <si>
    <t>ИТОГО по ст. 222</t>
  </si>
  <si>
    <t>ИТОГО по ст. 224</t>
  </si>
  <si>
    <t>ИТОГО по ст. 341</t>
  </si>
  <si>
    <t>ИТОГО по ст. 342</t>
  </si>
  <si>
    <t>ИТОГО по ст. 343</t>
  </si>
  <si>
    <t>ИТОГО по ст. 344</t>
  </si>
  <si>
    <t>ИТОГО по ст. 347</t>
  </si>
  <si>
    <t>ИТОГО по ст. 211</t>
  </si>
  <si>
    <t>Наименование объекта</t>
  </si>
  <si>
    <t>Плата (тариф) арендной платы за единицу площади (объект)</t>
  </si>
  <si>
    <t>Планируемый объем предоставления имущества в аренду</t>
  </si>
  <si>
    <t>Объем планируемых поступлений, руб.</t>
  </si>
  <si>
    <t xml:space="preserve">Наименование </t>
  </si>
  <si>
    <t>Объем предоставленного в пользование имущества</t>
  </si>
  <si>
    <t>Среднегодовой объем размещаемых средств</t>
  </si>
  <si>
    <t>Ставка размещения</t>
  </si>
  <si>
    <t>Тариф возмещаемых расходов</t>
  </si>
  <si>
    <t>Планируемый объем предоставления прав на использование объектов</t>
  </si>
  <si>
    <t>Плата за использование одного объекта</t>
  </si>
  <si>
    <t>Планируемый объем оказания платных услуг (работ)</t>
  </si>
  <si>
    <t>Прогнозная стоимость</t>
  </si>
  <si>
    <t>Размер, указанный в Решении*</t>
  </si>
  <si>
    <t xml:space="preserve">*при наличии решения суда, исполнительного документа, решения о возврате суммы излишне уплаченного налога, принятого налоговым органом, решения страховой организации о выплате страхового возмещения </t>
  </si>
  <si>
    <t>Стоимость услуг по одному договору</t>
  </si>
  <si>
    <t>Среднее количество указанных поступлений за последние три года</t>
  </si>
  <si>
    <t>1. Обоснование (расчет) для доходов от арендной платы</t>
  </si>
  <si>
    <t>2. Расчет (обоснование) доходов в виде возмещения расходов, понесенных в связи с эксплуатацией государственного (муниципального) имущества, закрепленного на праве оперативного управления</t>
  </si>
  <si>
    <t>3. Расчет (обоснование) доходов учреждения в виде процентов по депозитам, процентов по остаткам средств на счетах в кредитных организациях, а также процентов, полученных от предоставления займов</t>
  </si>
  <si>
    <t>4. Расчет (обоснование) доходов от распоряжения правами на результаты интеллектуальной деятельности и средства индивидуализации, в том числе по лицензионным договорам</t>
  </si>
  <si>
    <t xml:space="preserve">5. Обоснование (расчет) доходов от оказания услуг (выполнения работ) сверх установленного муниципального задания </t>
  </si>
  <si>
    <t>6. Обоснование (расчет) доходов в виде штрафов, средств, получаемых в возмещение ущерба (в том числе страховых возмещений)</t>
  </si>
  <si>
    <t xml:space="preserve">7. Обоснование (расчет) доходов от иной приносящей доход деятельности </t>
  </si>
  <si>
    <t>Увеличение стоимости прочих материальных запасов для целей капитальных вложений</t>
  </si>
  <si>
    <t xml:space="preserve">1. Обоснование (расчет) выплат персоналу </t>
  </si>
  <si>
    <t>1.2. Обоснование (расчет) расходов на Социальные пособия и компенсация персоналу в денежной форме</t>
  </si>
  <si>
    <t>1.1. Обоснование (расчет) расходов на оплату труда *</t>
  </si>
  <si>
    <t>1.4. Обоснование (расчет)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</si>
  <si>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3. Обоснование (расчет) расходов на уплату налогов, сборов и иных платежей</t>
  </si>
  <si>
    <t xml:space="preserve">6.Обоснование (расчет) расходов на закупку товаров, работ, услуг </t>
  </si>
  <si>
    <t>6.1. Обоснование (расчет) расходов на оплату услуг связи</t>
  </si>
  <si>
    <t>6.2. Обоснование (расчет) расходов на оплату транспортных расходов</t>
  </si>
  <si>
    <t>6.3. Обоснование (расчет) расходов на оплату коммунальных услуг</t>
  </si>
  <si>
    <t>6.4. Обоснование (расчет) расходов на арендную плату за пользование имуществом</t>
  </si>
  <si>
    <t>6.5. Обоснование (расчет) расходов на оплату работ, услуг, по содержанию имущества</t>
  </si>
  <si>
    <t>6.6. Обоснование (расчет) расходов на прочих работ, услуг</t>
  </si>
  <si>
    <t xml:space="preserve">6.7. Обоснование (расчет) на страхование </t>
  </si>
  <si>
    <t>6.8. Обоснование (расчет) на услуги, работы для целей капитальных вложений</t>
  </si>
  <si>
    <t>6.9. Обоснование (расчет) расходов на приобретение основных средств</t>
  </si>
  <si>
    <t>6.10. Обоснование (расчет) расходов на приобретение лекарственных препаратов и материалов, применяемых в медицинских целях</t>
  </si>
  <si>
    <t>6.11. Обоснование (расчет) расходов на приобретение продуктов питания</t>
  </si>
  <si>
    <t>6.12. Обоснование (расчет) расходов на приобретение ГСМ</t>
  </si>
  <si>
    <t>6.13. Обоснование (расчет) расходов на приобретение строительных материалов</t>
  </si>
  <si>
    <t>6.13. Обоснование (расчет) расходов на приобретение мягкого инвентаря</t>
  </si>
  <si>
    <t>6.14. Обоснование (расчет) расходов на приобретение прочих оборотных запасов (материалов)</t>
  </si>
  <si>
    <t>6.15. Обоснование (расчет) расходов на приобретение прочих материальных запасов для целей капитальных вложений</t>
  </si>
  <si>
    <t>6.16. Обоснование (расчет) расходов на приобретение прочих материальных запасов однократного применения</t>
  </si>
  <si>
    <t>* Учреждения вправе применить свои обоснования (расчеты)</t>
  </si>
  <si>
    <t>Количество услуг перевозки</t>
  </si>
  <si>
    <t>Цена услуги перевозки</t>
  </si>
  <si>
    <t>Ставка арендной платы</t>
  </si>
  <si>
    <t>Код вида дохода ______</t>
  </si>
  <si>
    <t>иные доходы от собственности</t>
  </si>
  <si>
    <t>1230</t>
  </si>
  <si>
    <t>доходы от административных платежей и штрафов, сборов, санкций, возмещения ущерба в соответствии с законодательством Российской Федерации</t>
  </si>
  <si>
    <t>от субсидии на осуществление капитальных вложений;</t>
  </si>
  <si>
    <t>иные безвозмездные денежные поступления.</t>
  </si>
  <si>
    <t xml:space="preserve">в том числе </t>
  </si>
  <si>
    <t>невыясненные поступления</t>
  </si>
  <si>
    <t>в том числе : целевые субсидии</t>
  </si>
  <si>
    <t>прочие поступления, всего</t>
  </si>
  <si>
    <t>из них:………….</t>
  </si>
  <si>
    <t>из них:………………………</t>
  </si>
  <si>
    <t>по контрактам (договорам), планируемым к заключению в соответствующем финансовом году</t>
  </si>
  <si>
    <t xml:space="preserve">в том числе:
по контрактам (договорам), заключенным до начала текущего финансового года </t>
  </si>
  <si>
    <t>по коду цели  1**…………………..</t>
  </si>
  <si>
    <t>1.4.3.1</t>
  </si>
  <si>
    <t>1.4.3.2</t>
  </si>
  <si>
    <t>Аренда столовой</t>
  </si>
  <si>
    <t>10 мес.</t>
  </si>
  <si>
    <t>Электроэнергия</t>
  </si>
  <si>
    <t>Водоснабжение</t>
  </si>
  <si>
    <t>Безвозмездные поступления</t>
  </si>
  <si>
    <r>
      <t xml:space="preserve">Код вида дохода  </t>
    </r>
    <r>
      <rPr>
        <u val="single"/>
        <sz val="12"/>
        <color indexed="8"/>
        <rFont val="Liberation Serif"/>
        <family val="1"/>
      </rPr>
      <t xml:space="preserve">  120  </t>
    </r>
  </si>
  <si>
    <r>
      <t xml:space="preserve">Код вида дохода  </t>
    </r>
    <r>
      <rPr>
        <u val="single"/>
        <sz val="12"/>
        <color indexed="8"/>
        <rFont val="Liberation Serif"/>
        <family val="1"/>
      </rPr>
      <t xml:space="preserve">  130  </t>
    </r>
  </si>
  <si>
    <r>
      <t xml:space="preserve">Код вида дохода </t>
    </r>
    <r>
      <rPr>
        <u val="single"/>
        <sz val="12"/>
        <color indexed="8"/>
        <rFont val="Liberation Serif"/>
        <family val="1"/>
      </rPr>
      <t xml:space="preserve">  150  </t>
    </r>
  </si>
  <si>
    <t>Электроэнергия  кВт/ч</t>
  </si>
  <si>
    <t>Ремонт и обслуживание оргтехники</t>
  </si>
  <si>
    <t>шт</t>
  </si>
  <si>
    <t>Продление лицензии/программное обеспечение</t>
  </si>
  <si>
    <t>Компьютер</t>
  </si>
  <si>
    <t>1</t>
  </si>
  <si>
    <t>Перчатки</t>
  </si>
  <si>
    <t>10,00</t>
  </si>
  <si>
    <t>Бумага туалетная</t>
  </si>
  <si>
    <t>Полотенца бумажные</t>
  </si>
  <si>
    <t>Салфетки бумажные</t>
  </si>
  <si>
    <t>Налог на прибыль</t>
  </si>
  <si>
    <t xml:space="preserve">    МБОУ "Средняя общеобразовательная школа № 3"    </t>
  </si>
  <si>
    <t>Фонд оплаты труда по штатному расписанию, руб.*</t>
  </si>
  <si>
    <t>Фонд оплаты труда по тарификации, руб.*</t>
  </si>
  <si>
    <t>Фонд оплаты труда в год, руб.*</t>
  </si>
  <si>
    <t>Выплата пособия за первых три дня больничных листа</t>
  </si>
  <si>
    <t>Госпошлина (предоставление документов в Министерство образования Свердловской области)</t>
  </si>
  <si>
    <t>Транспортный налог</t>
  </si>
  <si>
    <t>-</t>
  </si>
  <si>
    <t>Теплоснабжение Гкалл</t>
  </si>
  <si>
    <t>ГВС м3</t>
  </si>
  <si>
    <t>ХВС</t>
  </si>
  <si>
    <t>Водоотведение</t>
  </si>
  <si>
    <t>Обращение с ТКО</t>
  </si>
  <si>
    <t>Санитарно-эпидемиологические услуги (лабораторные иследования)</t>
  </si>
  <si>
    <t xml:space="preserve">Аккарицидная обработка </t>
  </si>
  <si>
    <t>Дератизация и дезинсеция помещений</t>
  </si>
  <si>
    <t>Техническое обслуживание охранной сигнализации</t>
  </si>
  <si>
    <t>Техническое обслуживание пожарной сигнализации</t>
  </si>
  <si>
    <t>Техническое обслуживание оборудования для дублирования сигнала "Пожар"</t>
  </si>
  <si>
    <t>Выполнение аварийного и текущего ремонта систем теплоснабжения</t>
  </si>
  <si>
    <t>Обслуживание узлов коммерческого учета</t>
  </si>
  <si>
    <t>Проведение гигиенического воспитания</t>
  </si>
  <si>
    <t>Медицинский осмотр сотрудников</t>
  </si>
  <si>
    <t>Продление лицензии "Контур-Амба"</t>
  </si>
  <si>
    <t>Семина для бухгалтера</t>
  </si>
  <si>
    <t>Курсы повышения квалификации сотрудников</t>
  </si>
  <si>
    <t>Обучение сотрудников по ГО, ОТ, ПБ</t>
  </si>
  <si>
    <t>Вызов охраны по тревожной кнопке</t>
  </si>
  <si>
    <t>Подписка на газуту Арамильские вести</t>
  </si>
  <si>
    <t>Продление лицензии "Контур-Экстерн"</t>
  </si>
  <si>
    <t>Вакцина (Шигелвак (дизентерия)</t>
  </si>
  <si>
    <t>Вакцина (клещевой инцефалит)</t>
  </si>
  <si>
    <t>100</t>
  </si>
  <si>
    <t>250</t>
  </si>
  <si>
    <t>Моющие  и дезинфицирующие средства, Део-хлор</t>
  </si>
  <si>
    <t>Кисти, валики, кюветки</t>
  </si>
  <si>
    <t>Вода питьевая</t>
  </si>
  <si>
    <t>Одноразовые стаканчики</t>
  </si>
  <si>
    <t>10</t>
  </si>
  <si>
    <t>220</t>
  </si>
  <si>
    <t>Сплит-система для кабинета информатики</t>
  </si>
  <si>
    <t>906.0702….130</t>
  </si>
  <si>
    <t>906.0702….140</t>
  </si>
  <si>
    <t>906.0702….150</t>
  </si>
  <si>
    <t>906.0702….180</t>
  </si>
  <si>
    <t>906.0702….111.211</t>
  </si>
  <si>
    <t>социальные пособия и компенсация персоналу</t>
  </si>
  <si>
    <t>906.0702….111.266</t>
  </si>
  <si>
    <t>906.0702….119.213</t>
  </si>
  <si>
    <t>906.0702....852.291</t>
  </si>
  <si>
    <t>906.0702.....853.292</t>
  </si>
  <si>
    <t>906.0702....831.000</t>
  </si>
  <si>
    <t>906.0702....241.000</t>
  </si>
  <si>
    <t>906.0702....242.000</t>
  </si>
  <si>
    <t>906.0702....243.000</t>
  </si>
  <si>
    <t>906.0702....244.221</t>
  </si>
  <si>
    <t>906.0702....244.222</t>
  </si>
  <si>
    <t>906.0702....244.223</t>
  </si>
  <si>
    <t>906.0702....244.224</t>
  </si>
  <si>
    <t>906.0702....244.225</t>
  </si>
  <si>
    <t>906.0702....244.226</t>
  </si>
  <si>
    <t>906.0702....244.227</t>
  </si>
  <si>
    <t>906.0702....244.228</t>
  </si>
  <si>
    <t>906.0702....244.310</t>
  </si>
  <si>
    <t>906.0702....244.341</t>
  </si>
  <si>
    <t>906.0702....244.342</t>
  </si>
  <si>
    <t>906.0702....244.343</t>
  </si>
  <si>
    <t>906.0702....244.344</t>
  </si>
  <si>
    <t>906.0702....244.345</t>
  </si>
  <si>
    <t>906.0702....244.346</t>
  </si>
  <si>
    <t>906.0702....244.347</t>
  </si>
  <si>
    <t>906.0702....244.349</t>
  </si>
  <si>
    <t>906.0702….406.000</t>
  </si>
  <si>
    <t>906.0702….407.000</t>
  </si>
  <si>
    <t>906.0702….100</t>
  </si>
  <si>
    <t>Заправка картриджей</t>
  </si>
  <si>
    <t>Услуги по изготовлению аттестатов</t>
  </si>
  <si>
    <t>Обучение педагогов</t>
  </si>
  <si>
    <t>Школьное питание</t>
  </si>
  <si>
    <t>Проектор</t>
  </si>
  <si>
    <t>Учебники</t>
  </si>
  <si>
    <t>Мебель для классов (столы,стулья)</t>
  </si>
  <si>
    <t>Бумага</t>
  </si>
  <si>
    <t>Масло моторное</t>
  </si>
  <si>
    <t>Краска для пола и стен</t>
  </si>
  <si>
    <t>Спецодежда</t>
  </si>
  <si>
    <t>5</t>
  </si>
  <si>
    <t>Приобретение подарочной продукции</t>
  </si>
  <si>
    <t xml:space="preserve">Офисный светодиодный светильник </t>
  </si>
  <si>
    <t xml:space="preserve">          Директор          </t>
  </si>
  <si>
    <t>2022 год</t>
  </si>
  <si>
    <t xml:space="preserve">Банкетки </t>
  </si>
  <si>
    <t>Кресло офисное</t>
  </si>
  <si>
    <t>Канцелярские товары</t>
  </si>
  <si>
    <t>Краска для стен и пола</t>
  </si>
  <si>
    <t>Обучение</t>
  </si>
  <si>
    <t>Уборка снега с крыш</t>
  </si>
  <si>
    <t>УТВЕРЖДАЮ:</t>
  </si>
  <si>
    <t>(наименование должности лица, утверждающего документ)</t>
  </si>
  <si>
    <t>(инициалы, фамилия)</t>
  </si>
  <si>
    <t>Коды</t>
  </si>
  <si>
    <r>
      <t xml:space="preserve">Орган, осуществляющий
функции и полномочия учредителя:
 </t>
    </r>
    <r>
      <rPr>
        <u val="single"/>
        <sz val="12"/>
        <color indexed="8"/>
        <rFont val="Times New Roman"/>
        <family val="1"/>
      </rPr>
      <t>Отдел образования Арамильского городского округа</t>
    </r>
  </si>
  <si>
    <t>Дата</t>
  </si>
  <si>
    <t>по Сводному реестру</t>
  </si>
  <si>
    <t>глава по БК</t>
  </si>
  <si>
    <r>
      <t xml:space="preserve">Учреждение:
</t>
    </r>
    <r>
      <rPr>
        <b/>
        <u val="single"/>
        <sz val="12"/>
        <color indexed="8"/>
        <rFont val="Times New Roman"/>
        <family val="1"/>
      </rPr>
      <t>Муниципальное бюджетное общеобразовательное учреждение "Средняя общеобразовательная школа № 3"</t>
    </r>
  </si>
  <si>
    <t>ИНН</t>
  </si>
  <si>
    <t>КПП</t>
  </si>
  <si>
    <t>Единица измерения: руб.</t>
  </si>
  <si>
    <t>по ОКЕИ</t>
  </si>
  <si>
    <t xml:space="preserve">Раздел 1. Поступления и выплаты </t>
  </si>
  <si>
    <t xml:space="preserve"> Бархатова А.С.     </t>
  </si>
  <si>
    <t>+79024446774</t>
  </si>
  <si>
    <t>Овчинникова И.Н.</t>
  </si>
  <si>
    <t>Главный бухгалтер</t>
  </si>
  <si>
    <t>ИТОГО по ст. 291</t>
  </si>
  <si>
    <t xml:space="preserve">1.1. Обоснование (расчет) расходов на оплату труда </t>
  </si>
  <si>
    <t xml:space="preserve">Бумага </t>
  </si>
  <si>
    <r>
      <t>Источник финансового обеспечения:</t>
    </r>
    <r>
      <rPr>
        <b/>
        <sz val="11"/>
        <color indexed="8"/>
        <rFont val="Liberation Serif"/>
        <family val="1"/>
      </rPr>
      <t xml:space="preserve"> Субсидии на иные цели, л/счет </t>
    </r>
    <r>
      <rPr>
        <b/>
        <sz val="12"/>
        <color indexed="8"/>
        <rFont val="Liberation Serif"/>
        <family val="1"/>
      </rPr>
      <t>21906564100</t>
    </r>
  </si>
  <si>
    <t>Обеспечение мероприятий по оборудованию спротивной площадки</t>
  </si>
  <si>
    <t>по коду цели  20-9061007</t>
  </si>
  <si>
    <t>в т.ч. по коду Субсидии - 20-9061007</t>
  </si>
  <si>
    <t>200</t>
  </si>
  <si>
    <t>150 шт</t>
  </si>
  <si>
    <t>доходы от оказания платных услуг (работ)</t>
  </si>
  <si>
    <t>Сумма, руб.*</t>
  </si>
  <si>
    <t>50</t>
  </si>
  <si>
    <t>* расчет на 6 мес.2020года</t>
  </si>
  <si>
    <t>Услуги физической охраны</t>
  </si>
  <si>
    <t>Санитарная обработка кулера</t>
  </si>
  <si>
    <t>906….120</t>
  </si>
  <si>
    <t>906.….150</t>
  </si>
  <si>
    <t xml:space="preserve">КОСГУ </t>
  </si>
  <si>
    <t>Муниципального бюджетного общеобразовательного учреждения "Средняя общеобразовательная школа № 3"</t>
  </si>
  <si>
    <t>Наименование муниципальной услуги</t>
  </si>
  <si>
    <t>Объем услуг в натуральном выражении</t>
  </si>
  <si>
    <t>Единица измерения  показателей объема муниципальной  услуги</t>
  </si>
  <si>
    <t>Затраты, связанные с оказанием муниципальной услуги</t>
  </si>
  <si>
    <t>Затраты на общехозяйственные нужды</t>
  </si>
  <si>
    <t>Расходы на содержание недвиж. имущества и особо ценного имущества</t>
  </si>
  <si>
    <t>Всего затраты в году</t>
  </si>
  <si>
    <t>Зарплата и страховые взносы персонала, участв. в оказании услуги</t>
  </si>
  <si>
    <t>Затраты на организацию питания</t>
  </si>
  <si>
    <t>Затраты на материальные запасы, основные средства, услуги по содержанию имущества и на прочие работы, услуги при оказании муниципальной услуги</t>
  </si>
  <si>
    <t>Зарплата и страх.взносы прочего персонала</t>
  </si>
  <si>
    <t>Затраты на услуги связи</t>
  </si>
  <si>
    <t>Затраты на работы, услуги по содержанию имущества</t>
  </si>
  <si>
    <t>Затраты на прочие работы, услуги</t>
  </si>
  <si>
    <t>Прочие расходы 
(в том числе на налоги)</t>
  </si>
  <si>
    <t>Затраты на  материальные  запасы и основные средства</t>
  </si>
  <si>
    <t>Затраты на электроэнергию</t>
  </si>
  <si>
    <t xml:space="preserve">Затраты на теплоэнергию </t>
  </si>
  <si>
    <t>Затраты на водоснабжение и водоотведение</t>
  </si>
  <si>
    <t>Затраты на обращение с ТКО</t>
  </si>
  <si>
    <t>Чел</t>
  </si>
  <si>
    <t xml:space="preserve">Итого  </t>
  </si>
  <si>
    <t>Реализация основных общеобразовательных программ   начального общего образования</t>
  </si>
  <si>
    <t>Руководитель учреждения</t>
  </si>
  <si>
    <t>/А.С. Бархатова/</t>
  </si>
  <si>
    <t>М.П.</t>
  </si>
  <si>
    <t>Ответственный исполнитель</t>
  </si>
  <si>
    <t>/И.Н. Овчинникова/</t>
  </si>
  <si>
    <t>Себестоимость единицы муниципапальной услуги</t>
  </si>
  <si>
    <t>Затраты на выполнение муниципальной услуги на платной основе (справочно)</t>
  </si>
  <si>
    <t xml:space="preserve">          (ФИО)</t>
  </si>
  <si>
    <t xml:space="preserve">           (ФИО)</t>
  </si>
  <si>
    <t>Пени по транспортному налогу (требование №26296 от 27.02.2020г)</t>
  </si>
  <si>
    <t>Приобретение аттестатов (бланки строгой отчетности)</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</si>
  <si>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t>
  </si>
  <si>
    <t>1240</t>
  </si>
  <si>
    <t>ИТОГО по коду Субсидии - 20-9061007 (МБ)</t>
  </si>
  <si>
    <t>в т.ч. по коду Субсидии - 20-9063014</t>
  </si>
  <si>
    <t>ИТОГО по коду Субсидии - 20-9063014 (ОБ)</t>
  </si>
  <si>
    <t>из них: налоги пошлины и сборы</t>
  </si>
  <si>
    <t>бесконтактные инфракрасные термометры</t>
  </si>
  <si>
    <t>настенные локтевые дозаторы с антисептическим средством для обработки рук</t>
  </si>
  <si>
    <t>ИТОГО по коду Субсидии - 20-9063018</t>
  </si>
  <si>
    <t>в т.ч. по коду Субсидии - 20-9063018</t>
  </si>
  <si>
    <t>по коду цели  20-9063014</t>
  </si>
  <si>
    <t>по коду цели  20-9063018</t>
  </si>
  <si>
    <t>Гидропневмопромывка системы отопления, опрессовка системы отопления</t>
  </si>
  <si>
    <t>Подписка на газету "Арамильские вести"</t>
  </si>
  <si>
    <r>
      <t xml:space="preserve">Коды видов расходов </t>
    </r>
    <r>
      <rPr>
        <u val="single"/>
        <sz val="12"/>
        <color indexed="8"/>
        <rFont val="Liberation Serif"/>
        <family val="1"/>
      </rPr>
      <t xml:space="preserve"> 831, 851, 852, 853</t>
    </r>
  </si>
  <si>
    <t>906.0702....831.297</t>
  </si>
  <si>
    <t>Иные расходы, уплата неустойки</t>
  </si>
  <si>
    <t>облучатель бактерицидный настенный</t>
  </si>
  <si>
    <t>рециркулятор-облучатель бактерицидный настенный</t>
  </si>
  <si>
    <t>бесконтактный аппарат для дезинфекции, модель NEXT UNO в комплекте с со средством дезинфицирующим</t>
  </si>
  <si>
    <t xml:space="preserve"> рециркулятор бактерицидный настенный</t>
  </si>
  <si>
    <t>рециркулятор бактерицидный  модернизированный (на передвижной стойке)</t>
  </si>
  <si>
    <t>облучатель бактерицидный, рециркулятор бактерицидный (для автобуса)</t>
  </si>
  <si>
    <t>Мультимедиа-проектор</t>
  </si>
  <si>
    <t>Обеспечение питанием обучающихся начальных классов</t>
  </si>
  <si>
    <t xml:space="preserve">Страх.взносы </t>
  </si>
  <si>
    <t>по л/сч 20906564101 (МБ)</t>
  </si>
  <si>
    <t>Зарплата</t>
  </si>
  <si>
    <t>- 8986,00</t>
  </si>
  <si>
    <t>- 2 714,00</t>
  </si>
  <si>
    <t>Наименование выплаты</t>
  </si>
  <si>
    <t>Ежемесячное денежное вознаграждение за классное руководство педагогическим работникам общеобразовательных организаций</t>
  </si>
  <si>
    <t>ИТОГО по коду Субсидии  20-9063021</t>
  </si>
  <si>
    <t>ИТОГО по коду Субсидии 20-9063021</t>
  </si>
  <si>
    <t>по коду цели  20-9063021</t>
  </si>
  <si>
    <t>в т.ч. По коду Субсидии 20-9063021</t>
  </si>
  <si>
    <t>ИТОГО по коду Субсидии  20-9063023</t>
  </si>
  <si>
    <t>в т.ч. по коду Субсидии 20-9063021</t>
  </si>
  <si>
    <t>по коду цели  20-9063023</t>
  </si>
  <si>
    <t>Мешки для мусора</t>
  </si>
  <si>
    <t>Перчатки, бумага туалетная, салфетки бумажные, полотенца бумажные</t>
  </si>
  <si>
    <t>Ремонт посудомоечной машины</t>
  </si>
  <si>
    <t xml:space="preserve">354 </t>
  </si>
  <si>
    <t>Количество (шт.)</t>
  </si>
  <si>
    <t>167</t>
  </si>
  <si>
    <t>Начальник Отдела образования 
Арамильского городского округа</t>
  </si>
  <si>
    <t>Г.В. Горяченко</t>
  </si>
  <si>
    <t>Начальник Отдела образования Арамильского городского округа</t>
  </si>
  <si>
    <r>
      <rPr>
        <u val="single"/>
        <sz val="12"/>
        <color indexed="8"/>
        <rFont val="Times New Roman"/>
        <family val="1"/>
      </rPr>
      <t xml:space="preserve">                                                       </t>
    </r>
    <r>
      <rPr>
        <sz val="12"/>
        <color indexed="8"/>
        <rFont val="Times New Roman"/>
        <family val="1"/>
      </rPr>
      <t xml:space="preserve">  / Г.В. Горяченко/</t>
    </r>
  </si>
  <si>
    <t xml:space="preserve">Валики, кисти, леска для триммера, скобы, лист ПЭТ, торцевой элемент, скотч </t>
  </si>
  <si>
    <t>Средство дезинфицирующее (кожный антисептик)</t>
  </si>
  <si>
    <t>Право использования ЭС</t>
  </si>
  <si>
    <t>Продление лицензии АМБа Контур-Экстерн</t>
  </si>
  <si>
    <t>Бензин для газонокосилки</t>
  </si>
  <si>
    <t>Масло моторное для газонокосилки</t>
  </si>
  <si>
    <t>Услуги по уборке снега с крыш</t>
  </si>
  <si>
    <t>20</t>
  </si>
  <si>
    <t>2023 год</t>
  </si>
  <si>
    <t>Выполнение аварийного и текущего ремонта системы отопления</t>
  </si>
  <si>
    <t>Промывка системы отопления</t>
  </si>
  <si>
    <r>
      <t xml:space="preserve">Коды видов расходов  </t>
    </r>
    <r>
      <rPr>
        <u val="single"/>
        <sz val="12"/>
        <color indexed="8"/>
        <rFont val="Liberation Serif"/>
        <family val="1"/>
      </rPr>
      <t xml:space="preserve"> 244 </t>
    </r>
  </si>
  <si>
    <t>906.0702....247.223</t>
  </si>
  <si>
    <r>
      <t xml:space="preserve">Коды видов расходов </t>
    </r>
    <r>
      <rPr>
        <u val="single"/>
        <sz val="12"/>
        <color indexed="8"/>
        <rFont val="Liberation Serif"/>
        <family val="1"/>
      </rPr>
      <t xml:space="preserve"> 244</t>
    </r>
    <r>
      <rPr>
        <u val="single"/>
        <sz val="12"/>
        <color indexed="8"/>
        <rFont val="Liberation Serif"/>
        <family val="1"/>
      </rPr>
      <t>, 247</t>
    </r>
  </si>
  <si>
    <t>по коду цели  21-9061005</t>
  </si>
  <si>
    <t>в т.ч. по коду Субсидии - 21-9061005</t>
  </si>
  <si>
    <r>
      <t xml:space="preserve">Коды видов расходов </t>
    </r>
    <r>
      <rPr>
        <u val="single"/>
        <sz val="12"/>
        <color indexed="8"/>
        <rFont val="Liberation Serif"/>
        <family val="1"/>
      </rPr>
      <t xml:space="preserve"> 244</t>
    </r>
    <r>
      <rPr>
        <sz val="12"/>
        <color indexed="8"/>
        <rFont val="Liberation Serif"/>
        <family val="1"/>
      </rPr>
      <t>,247</t>
    </r>
  </si>
  <si>
    <t>Коды вида расходов 244</t>
  </si>
  <si>
    <t>1.4. Обоснование (расчет)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</si>
  <si>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1.4. Обоснование (расчет)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</si>
  <si>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ИТОГО по коду Субсидии - 21-9061005</t>
  </si>
  <si>
    <t>Реализация основных общеобразовательных программ начального общего образования (адаптированная, ОВЗ)</t>
  </si>
  <si>
    <t>Реализация основных общеобразовательных программ начального общего образования (адаптированная, дети-инвалиды)</t>
  </si>
  <si>
    <t>Реализация основных общеобразовательных программ начального общего образования (адаптированная, дети-инвалиды на дому)</t>
  </si>
  <si>
    <t xml:space="preserve">Реализация основных общеобразовательных программ основного общего образования </t>
  </si>
  <si>
    <t>Реализация основных общеобразовательных программ основного общего образования (адаптированная, ОВЗ)</t>
  </si>
  <si>
    <t>Реализация основных общеобразовательных программ среднего общего образования (профильное обучение)</t>
  </si>
  <si>
    <t xml:space="preserve">Поступлениеи от выбытия основных средств </t>
  </si>
  <si>
    <t>Размер, указанный в Решении</t>
  </si>
  <si>
    <t>Перезарядка огнетушителей</t>
  </si>
  <si>
    <t>2</t>
  </si>
  <si>
    <r>
      <t xml:space="preserve">Коды видов расходов </t>
    </r>
    <r>
      <rPr>
        <u val="single"/>
        <sz val="12"/>
        <color indexed="8"/>
        <rFont val="Liberation Serif"/>
        <family val="1"/>
      </rPr>
      <t xml:space="preserve"> 244</t>
    </r>
    <r>
      <rPr>
        <u val="single"/>
        <sz val="12"/>
        <color indexed="8"/>
        <rFont val="Liberation Serif"/>
        <family val="1"/>
      </rPr>
      <t>, 247</t>
    </r>
  </si>
  <si>
    <r>
      <t xml:space="preserve">Коды видов расходов </t>
    </r>
    <r>
      <rPr>
        <u val="single"/>
        <sz val="12"/>
        <color indexed="8"/>
        <rFont val="Liberation Serif"/>
        <family val="1"/>
      </rPr>
      <t xml:space="preserve"> 244</t>
    </r>
    <r>
      <rPr>
        <u val="single"/>
        <sz val="12"/>
        <color indexed="8"/>
        <rFont val="Liberation Serif"/>
        <family val="1"/>
      </rPr>
      <t>,247</t>
    </r>
  </si>
  <si>
    <t>906….140</t>
  </si>
  <si>
    <t>из них: Штрафы, пени, неустойки, возмещения ущерба</t>
  </si>
  <si>
    <r>
      <t xml:space="preserve">Код вида дохода  </t>
    </r>
    <r>
      <rPr>
        <u val="single"/>
        <sz val="12"/>
        <color indexed="8"/>
        <rFont val="Liberation Serif"/>
        <family val="1"/>
      </rPr>
      <t xml:space="preserve">  140  </t>
    </r>
  </si>
  <si>
    <t>ИТОГО по коду Субсидии - 21-9063008</t>
  </si>
  <si>
    <t>в т.ч. по коду Субсидии - 21-9063008</t>
  </si>
  <si>
    <t>906.0702....111.211</t>
  </si>
  <si>
    <t>906.0702....119.213</t>
  </si>
  <si>
    <t>(22 чел. * 5 000 руб. + 2 чел. * 10 000 руб.)*12*1,15*1,302=2 335 788 руб.</t>
  </si>
  <si>
    <t>в т.ч. по коду Субсидии - 21-9063010</t>
  </si>
  <si>
    <t>906.0702.....111.211</t>
  </si>
  <si>
    <t>906.0702.....119.213</t>
  </si>
  <si>
    <t>Сушилка для рук</t>
  </si>
  <si>
    <t>Дозатор локтевой</t>
  </si>
  <si>
    <t>4</t>
  </si>
  <si>
    <t>Организация отдыха и оздоровления детей в лагере дневного пребывания</t>
  </si>
  <si>
    <t>ИТОГО по коду Субсидии  21-9061014</t>
  </si>
  <si>
    <t>в т.ч. по коду Субсидии - 21-9061014</t>
  </si>
  <si>
    <t>Организация отдыха и оздоровления детей в лагере дневного пребывания (мыло туалетное, туалетная бумага, бумажные полотенца, тряпка половая, белизна, влажные салфетки, чистящее средство, средство для посуды, перчатки резиновые, мешки для мусора, мыло жидкое)</t>
  </si>
  <si>
    <t>Организация отдыха и оздоровления детей в лагере дневного пребывания (призы (брелки, мини.фонарики), грамоты, дипломы, набор для творчества, клей ПВА, мелки цветные, пластилин, альбомы для рисования, карандаши, игрушка-головоломка, акварель, гуашь, раскраски, настольные игры, бадминтон, скакалки, обруч, мяч волейбольный, мяч футбольный).</t>
  </si>
  <si>
    <t>Щит навесной CNK 40-06-1, С-выкл.авт.рейка</t>
  </si>
  <si>
    <t>Налог на имущество</t>
  </si>
  <si>
    <t>906.0702....851.291</t>
  </si>
  <si>
    <t>Обучение сотрудников</t>
  </si>
  <si>
    <t>40</t>
  </si>
  <si>
    <t>Мешки для мусора, салфетки бумажные, салфетки вискозные, перчатки латексные</t>
  </si>
  <si>
    <t>ИТОГО по коду Субсидии  21-9063020</t>
  </si>
  <si>
    <t>в т.ч. по коду Субсидии - 21-9063020</t>
  </si>
  <si>
    <t>Краска, штукатурка, шпатлевка, грунтовка, колер, растворитель к новому учебному году</t>
  </si>
  <si>
    <r>
      <t>Источник финансового обеспечения:</t>
    </r>
    <r>
      <rPr>
        <b/>
        <sz val="11"/>
        <color indexed="8"/>
        <rFont val="Liberation Serif"/>
        <family val="1"/>
      </rPr>
      <t xml:space="preserve"> Местный бюджет, л/счет 20906941010</t>
    </r>
  </si>
  <si>
    <r>
      <t>Источник финансового обеспечения:</t>
    </r>
    <r>
      <rPr>
        <b/>
        <sz val="11"/>
        <color indexed="8"/>
        <rFont val="Liberation Serif"/>
        <family val="1"/>
      </rPr>
      <t xml:space="preserve"> </t>
    </r>
    <r>
      <rPr>
        <b/>
        <sz val="11"/>
        <color indexed="8"/>
        <rFont val="Liberation Serif"/>
        <family val="1"/>
      </rPr>
      <t>Областной бюджет, л/счет 20906941020</t>
    </r>
  </si>
  <si>
    <r>
      <t>Источник финансового обеспечения:</t>
    </r>
    <r>
      <rPr>
        <b/>
        <sz val="11"/>
        <color indexed="8"/>
        <rFont val="Liberation Serif"/>
        <family val="1"/>
      </rPr>
      <t xml:space="preserve"> Субсидии на иные цели, л/счет </t>
    </r>
    <r>
      <rPr>
        <b/>
        <sz val="12"/>
        <color indexed="8"/>
        <rFont val="Liberation Serif"/>
        <family val="1"/>
      </rPr>
      <t>21906941000</t>
    </r>
  </si>
  <si>
    <r>
      <t>Источник финансового обеспечения:</t>
    </r>
    <r>
      <rPr>
        <b/>
        <sz val="11"/>
        <color indexed="8"/>
        <rFont val="Liberation Serif"/>
        <family val="1"/>
      </rPr>
      <t xml:space="preserve"> Внебюджет, л/счет 23906941000</t>
    </r>
  </si>
  <si>
    <r>
      <t>Источник финансового обеспечения:</t>
    </r>
    <r>
      <rPr>
        <b/>
        <sz val="11"/>
        <color indexed="8"/>
        <rFont val="Liberation Serif"/>
        <family val="1"/>
      </rPr>
      <t xml:space="preserve"> Внебюджет, л/счет 23906941000</t>
    </r>
  </si>
  <si>
    <t>по лицевым счетам  (20906941010, 20906941020, 23906941000, 21906941000)</t>
  </si>
  <si>
    <t>Ремонт и обслуживание оргтехники, заправка картриджей</t>
  </si>
  <si>
    <t>906.0707....244.226</t>
  </si>
  <si>
    <t>906.0707....244.346</t>
  </si>
  <si>
    <t>906.0707....244.349</t>
  </si>
  <si>
    <t>Мебель для классов (Точка роста)</t>
  </si>
  <si>
    <t>Компакт-диск с дистрибутивом (установочный комплект, сертификат активации сервиса прямой технической поддержки)</t>
  </si>
  <si>
    <t>Пени по налогу на имущество (справка №211745 от 01.07.2021г.)</t>
  </si>
  <si>
    <t>Организация летнего отдыха (МБ) (Туристические походы)</t>
  </si>
  <si>
    <t>Cервисное обслуживание узла учета тепла</t>
  </si>
  <si>
    <t>Право использования ЭС (Справочная система: "Завуч")</t>
  </si>
  <si>
    <t>3</t>
  </si>
  <si>
    <t xml:space="preserve">Кабель-канал 40х25, кабель-канал 25х16  </t>
  </si>
  <si>
    <t>Электроэнергия  кВт/ч (кредиторская задолжность за 2020г)</t>
  </si>
  <si>
    <t>Теплоснабжение Гкалл (кредиторская задолжность за 2020г)</t>
  </si>
  <si>
    <t>ГВС м3 (кредиторская задолжность за 2020г)</t>
  </si>
  <si>
    <t>ХВС (кредиторская задолжность за 2020г)</t>
  </si>
  <si>
    <t>Водоотведение (кредиторская задолжность за 2020г)</t>
  </si>
  <si>
    <t>Информационная табличка</t>
  </si>
  <si>
    <t>3D принтер</t>
  </si>
  <si>
    <t>Компьютер и его комплектующие</t>
  </si>
  <si>
    <t>Гимнастическая стенка</t>
  </si>
  <si>
    <t>Цифровая видеокамера HiWatch</t>
  </si>
  <si>
    <t>Пени по страх.взносам и страх.взн ФФОМС (справка №370471 от 23.11.2021г.)</t>
  </si>
  <si>
    <t xml:space="preserve">Доска мел/магнит </t>
  </si>
  <si>
    <t>Спорт.инвентарь (мяч волейбольный, мяч футбольный, мяч баскетбольный, система для передачи и хранения мячей, конус с втулкой, канат для лазанья, консоль для каната, медбол, стойки волейбольные, линейка для прыжков в длину, ботинки для лыж)</t>
  </si>
  <si>
    <t>Спорт.инвентарь (скакалка,мяч для тениса, мяч для настольного тениса)</t>
  </si>
  <si>
    <t>12</t>
  </si>
  <si>
    <t>Устройство для хранения хим.реактивов</t>
  </si>
  <si>
    <t>6.12. Обоснование (расчет) расходов на приобретение строительных материалов</t>
  </si>
  <si>
    <t>6.10. Обоснование (расчет) расходов на приобретение продуктов питания</t>
  </si>
  <si>
    <t xml:space="preserve">Хоз.инвентарь (метлаполипропиленовая, джижок пластиковый, ледоруб с топором сварной, лопата для уборки снега, хлорные таблетки, пескосоль, швабра, тряпкодержатель) </t>
  </si>
  <si>
    <t>Халаты для проведения практических и лабораторных работ</t>
  </si>
  <si>
    <t>7</t>
  </si>
  <si>
    <t>Ремонт и обслуживание технических средств обучения и компьютерного оборудования</t>
  </si>
  <si>
    <t>УТВЕРЖДАЮ</t>
  </si>
  <si>
    <t>глва по БК</t>
  </si>
  <si>
    <r>
      <t>Орган, осуществляющий
функции и полномочия учредителя _</t>
    </r>
    <r>
      <rPr>
        <u val="single"/>
        <sz val="11"/>
        <color indexed="8"/>
        <rFont val="Liberation Serif"/>
        <family val="1"/>
      </rPr>
      <t xml:space="preserve"> Отдел образования Арамильского городского округа</t>
    </r>
    <r>
      <rPr>
        <sz val="11"/>
        <color indexed="8"/>
        <rFont val="Liberation Serif"/>
        <family val="1"/>
      </rPr>
      <t xml:space="preserve">_ </t>
    </r>
  </si>
  <si>
    <r>
      <t>Учреждение _</t>
    </r>
    <r>
      <rPr>
        <u val="single"/>
        <sz val="11"/>
        <color indexed="8"/>
        <rFont val="Liberation Serif"/>
        <family val="1"/>
      </rPr>
      <t>Муниципальное бюджетное общеобразовательное учреждение "Средняя общеобразовательная школа № 3"</t>
    </r>
    <r>
      <rPr>
        <sz val="11"/>
        <color indexed="8"/>
        <rFont val="Liberation Serif"/>
        <family val="1"/>
      </rPr>
      <t>_</t>
    </r>
  </si>
  <si>
    <t>906.0702….120</t>
  </si>
  <si>
    <t>906.0707….244</t>
  </si>
  <si>
    <t>2660</t>
  </si>
  <si>
    <t>Коммунальные услуги (закупку энергетических ресурсов)</t>
  </si>
  <si>
    <t>Код по бюджетной классификации Российской Федерации &lt;10.1&gt;</t>
  </si>
  <si>
    <t>Уникальный код              &lt;10.2&gt;</t>
  </si>
  <si>
    <t xml:space="preserve"> из них &lt;10.1&gt;:</t>
  </si>
  <si>
    <t>26421.1</t>
  </si>
  <si>
    <t>26430.1</t>
  </si>
  <si>
    <t>26430.2</t>
  </si>
  <si>
    <t>26451.1</t>
  </si>
  <si>
    <t>26451.2</t>
  </si>
  <si>
    <t xml:space="preserve"> из них &lt;10.2&gt;:</t>
  </si>
  <si>
    <t>Пени по страх.взн ФФОМС, страх.взносы на обяз.соц.страх. на случай врем.нетруд. и в связи с материнством (справка на 2022г)</t>
  </si>
  <si>
    <t>Обслуживание вентиляции</t>
  </si>
  <si>
    <t>Туалетная бумага, дез.средства, салфетки, губки</t>
  </si>
  <si>
    <t xml:space="preserve">    МБОУ "Средняя общеобразовательная школа № 3"    на 2024 год</t>
  </si>
  <si>
    <t>2024 год</t>
  </si>
  <si>
    <t xml:space="preserve">    МБОУ "Средняя общеобразовательная школа № 3" на 2024 год    </t>
  </si>
  <si>
    <t xml:space="preserve">Ноутбук </t>
  </si>
  <si>
    <t>ИТОГО по коду Субсидии  22-9061013</t>
  </si>
  <si>
    <t>в т.ч. по коду Субсидии - 22-9061013</t>
  </si>
  <si>
    <t>по коду цели  22-9061013</t>
  </si>
  <si>
    <t xml:space="preserve"> из них &lt;10.1&gt;:906.0702.0950301502.612</t>
  </si>
  <si>
    <r>
      <t>План финансово-хозяйственной деятельности на 20_</t>
    </r>
    <r>
      <rPr>
        <u val="single"/>
        <sz val="14"/>
        <color indexed="8"/>
        <rFont val="Liberation Serif"/>
        <family val="1"/>
      </rPr>
      <t>22</t>
    </r>
    <r>
      <rPr>
        <sz val="14"/>
        <color indexed="8"/>
        <rFont val="Liberation Serif"/>
        <family val="1"/>
      </rPr>
      <t>_ г.
(на 20_</t>
    </r>
    <r>
      <rPr>
        <u val="single"/>
        <sz val="14"/>
        <color indexed="8"/>
        <rFont val="Liberation Serif"/>
        <family val="1"/>
      </rPr>
      <t>22</t>
    </r>
    <r>
      <rPr>
        <sz val="14"/>
        <color indexed="8"/>
        <rFont val="Liberation Serif"/>
        <family val="1"/>
      </rPr>
      <t>_ г. и плановый период 20_</t>
    </r>
    <r>
      <rPr>
        <u val="single"/>
        <sz val="14"/>
        <color indexed="8"/>
        <rFont val="Liberation Serif"/>
        <family val="1"/>
      </rPr>
      <t>23</t>
    </r>
    <r>
      <rPr>
        <sz val="14"/>
        <color indexed="8"/>
        <rFont val="Liberation Serif"/>
        <family val="1"/>
      </rPr>
      <t>_ и 20_</t>
    </r>
    <r>
      <rPr>
        <u val="single"/>
        <sz val="14"/>
        <color indexed="8"/>
        <rFont val="Liberation Serif"/>
        <family val="1"/>
      </rPr>
      <t>24</t>
    </r>
    <r>
      <rPr>
        <sz val="14"/>
        <color indexed="8"/>
        <rFont val="Liberation Serif"/>
        <family val="1"/>
      </rPr>
      <t>_ годов)</t>
    </r>
  </si>
  <si>
    <t>План финансово-хозяйственной деятельности на 2022 год
(на 2022 г. и плановый период 2023 и 2024 годов)</t>
  </si>
  <si>
    <t>и плановый период 2023 и 2024 годов.</t>
  </si>
  <si>
    <t>906.0702….247</t>
  </si>
  <si>
    <r>
      <t>Источник финансового обеспечения:</t>
    </r>
    <r>
      <rPr>
        <b/>
        <sz val="11"/>
        <color indexed="8"/>
        <rFont val="Liberation Serif"/>
        <family val="1"/>
      </rPr>
      <t xml:space="preserve"> </t>
    </r>
    <r>
      <rPr>
        <b/>
        <sz val="11"/>
        <color indexed="8"/>
        <rFont val="Liberation Serif"/>
        <family val="1"/>
      </rPr>
      <t>Местный бюджет, л/счет 20906941010</t>
    </r>
  </si>
  <si>
    <r>
      <t>Источник финансового обеспечения:</t>
    </r>
    <r>
      <rPr>
        <b/>
        <sz val="11"/>
        <color indexed="8"/>
        <rFont val="Liberation Serif"/>
        <family val="1"/>
      </rPr>
      <t xml:space="preserve"> </t>
    </r>
    <r>
      <rPr>
        <b/>
        <sz val="11"/>
        <color indexed="8"/>
        <rFont val="Liberation Serif"/>
        <family val="1"/>
      </rPr>
      <t>Внебюджет, л/счет 23906941000</t>
    </r>
  </si>
  <si>
    <t>на 2022 г. (текущий финансовый год)</t>
  </si>
  <si>
    <t>на 2023 г. (первый год планового периода)</t>
  </si>
  <si>
    <t>на 2024 г. (второй год планового периода)</t>
  </si>
  <si>
    <t>Платные услуги (кружки Хоккей с шайбой, Город мастеров, Ступенька к школе)</t>
  </si>
  <si>
    <t>по коду цели  22-9061020</t>
  </si>
  <si>
    <t>по коду цели  22-9061018</t>
  </si>
  <si>
    <t>по коду цели  22-9061024</t>
  </si>
  <si>
    <t>в т.ч. по коду Субсидии - 22-9061024</t>
  </si>
  <si>
    <t>Гигиеническое обучение</t>
  </si>
  <si>
    <t>Замена сменных картриджей в питьевом фонтанчике</t>
  </si>
  <si>
    <t>по коду цели  22-9063020</t>
  </si>
  <si>
    <t>по коду цели  22-9063018</t>
  </si>
  <si>
    <t>по коду цели  22-9063022</t>
  </si>
  <si>
    <t>в т.ч. по коду Субсидии - 22-9063020</t>
  </si>
  <si>
    <t>в т.ч. по коду Субсидии 22-9063018</t>
  </si>
  <si>
    <t>в т.ч. по коду Субсидии - 22-9063022</t>
  </si>
  <si>
    <t>в т.ч. по коду Субсидии - 22-9063018</t>
  </si>
  <si>
    <t>ИТОГО по коду Субсидии - 22-9063020</t>
  </si>
  <si>
    <t>ИТОГО по коду Субсидии  22-9063018</t>
  </si>
  <si>
    <t>Ремонт системы отопления в здании средней школы</t>
  </si>
  <si>
    <t>Комплексное техническое обслуживание инженерных систем теплоснабжения в здании</t>
  </si>
  <si>
    <t>Требование №661522100780502 от 30.03.2022г (пени по обязательному социальному страхованию от несчастных случаев на производстве и профессиональных заболеваний по ставке 0,2%)</t>
  </si>
  <si>
    <t>Организация летнего отдыха (МБ) (Приобретение путевок в детский оздоровительный лагерь "Рассветный" с.Кадниково (патриотика))</t>
  </si>
  <si>
    <t>Организация летнего отдыха (ОБ)  (Приобретение путевок в детский оздоровительный лагерь "Заря" г.Асбест)</t>
  </si>
  <si>
    <t>906.0707….150</t>
  </si>
  <si>
    <t>6</t>
  </si>
  <si>
    <t>Медали "За особые успехи в учении", удостоверение к медали "За особые успехи в учении"</t>
  </si>
  <si>
    <t>Смесители</t>
  </si>
  <si>
    <t>ИТОГО по коду Субсидии  22-9061030</t>
  </si>
  <si>
    <t>ИТОГО по коду Субсидии  22-9063031</t>
  </si>
  <si>
    <t>в т.ч. по коду Субсидии 22-9061030</t>
  </si>
  <si>
    <t>в т.ч. по коду Субсидии 22-9063031</t>
  </si>
  <si>
    <t>по коду цели  22-9061030</t>
  </si>
  <si>
    <t>по коду цели  22-9063031</t>
  </si>
  <si>
    <r>
      <t>"_</t>
    </r>
    <r>
      <rPr>
        <u val="single"/>
        <sz val="11"/>
        <color indexed="8"/>
        <rFont val="Liberation Serif"/>
        <family val="1"/>
      </rPr>
      <t>27</t>
    </r>
    <r>
      <rPr>
        <sz val="11"/>
        <color indexed="8"/>
        <rFont val="Liberation Serif"/>
        <family val="1"/>
      </rPr>
      <t>_"    ___</t>
    </r>
    <r>
      <rPr>
        <u val="single"/>
        <sz val="11"/>
        <color indexed="8"/>
        <rFont val="Liberation Serif"/>
        <family val="0"/>
      </rPr>
      <t>апреля</t>
    </r>
    <r>
      <rPr>
        <sz val="11"/>
        <color indexed="8"/>
        <rFont val="Liberation Serif"/>
        <family val="1"/>
      </rPr>
      <t>___  20_</t>
    </r>
    <r>
      <rPr>
        <u val="single"/>
        <sz val="11"/>
        <color indexed="8"/>
        <rFont val="Liberation Serif"/>
        <family val="1"/>
      </rPr>
      <t>22</t>
    </r>
    <r>
      <rPr>
        <sz val="11"/>
        <color indexed="8"/>
        <rFont val="Liberation Serif"/>
        <family val="1"/>
      </rPr>
      <t>_ г.</t>
    </r>
  </si>
  <si>
    <t>ИТОГО по виду расходов 244</t>
  </si>
  <si>
    <t>ИТОГО по виду расходов 247</t>
  </si>
  <si>
    <t>Обоснования (расчеты) плановых показателей по выплатам</t>
  </si>
  <si>
    <t>Обоснования (расчеты) плановых показателей по поступлениям</t>
  </si>
  <si>
    <t>1110</t>
  </si>
  <si>
    <t>906…150</t>
  </si>
  <si>
    <t>1410</t>
  </si>
  <si>
    <t>1411</t>
  </si>
  <si>
    <t>1412</t>
  </si>
  <si>
    <t>1413</t>
  </si>
  <si>
    <t>1414</t>
  </si>
  <si>
    <t>1415</t>
  </si>
  <si>
    <t>1416</t>
  </si>
  <si>
    <t>1417</t>
  </si>
  <si>
    <t>1430</t>
  </si>
  <si>
    <t>2112</t>
  </si>
  <si>
    <t>2111</t>
  </si>
  <si>
    <t>из них: оплата труда</t>
  </si>
  <si>
    <t>в том числе: на выплаты по оплате труда</t>
  </si>
  <si>
    <t>2141</t>
  </si>
  <si>
    <t>1120</t>
  </si>
  <si>
    <t>в том числе по году начала закупки:                                                 2022 год</t>
  </si>
  <si>
    <t>в том числе:                                                               доходы от собственности, всего</t>
  </si>
  <si>
    <t>в том числе:                                                                     доходы от арендной платы</t>
  </si>
  <si>
    <t xml:space="preserve">в том числе:                                                                субсидии на финансовое обеспечение выполнения муниципального задания </t>
  </si>
  <si>
    <t>в том числе:                                                                       целевые субсидии:</t>
  </si>
  <si>
    <t>В том числе:                                                                      на выплаты персоналу, всего</t>
  </si>
  <si>
    <t xml:space="preserve">в том числе:                                                                   оплата труда </t>
  </si>
  <si>
    <t>в том числе:                                                                  оплата труда (заработная плата)</t>
  </si>
  <si>
    <t>в том числе:                                                                        на выплаты по оплате труда</t>
  </si>
  <si>
    <t>в том числе:                                                                                 взносы по обязательному социальному страхованию на выплаты по оплате труда работников и иные выплаты работникам учреждений</t>
  </si>
  <si>
    <t>в том числе:                                                                     иные налоги, пошлины и сборы</t>
  </si>
  <si>
    <t>в том числе:                                                                прочую закупку товаров, работ и услуг, всего</t>
  </si>
  <si>
    <t>в том числе:                                                                       услуги связи</t>
  </si>
  <si>
    <t>в том числе:                                                                  прочие работы, услуги</t>
  </si>
  <si>
    <t>в том числе:                                                              увеличение стоимости основных средств</t>
  </si>
  <si>
    <t>в том числе:                                                             увеличение стоимости прочих оборотных запасов (материалов)</t>
  </si>
  <si>
    <t>в том числе:                                                                 увеличение стоимости прочих материальных запасов однократного применения</t>
  </si>
  <si>
    <t>в том числе:                                                                     доходы от собственности, всего</t>
  </si>
  <si>
    <t>в том числе:                                                                         доходы от арендной платы</t>
  </si>
  <si>
    <t xml:space="preserve">в том числе:                                                                     субсидии на финансовое обеспечение выполнения муниципального задания </t>
  </si>
  <si>
    <t>в том числе:                                                                           целевые субсидии</t>
  </si>
  <si>
    <t>в том числе:                                                          выплаты персоналу, всего</t>
  </si>
  <si>
    <t>в том числе:                                                                      оплата труда</t>
  </si>
  <si>
    <t>в том числе:                                                                        оплата труда (заработная плата)</t>
  </si>
  <si>
    <t>в том числе:                                                                      иные налоги, пошлины и сборы</t>
  </si>
  <si>
    <t>в том числе:                                                                  прочую закупку товаров, работ и услуг, всего</t>
  </si>
  <si>
    <t>в том числе:                                                                     услуги связи</t>
  </si>
  <si>
    <t>в том числе:                                                                        прочие работы, услуги</t>
  </si>
  <si>
    <t>в том числе:                                                                        доходы от собственности, всего</t>
  </si>
  <si>
    <t>в том числе:                                                                            доходы от арендной платы</t>
  </si>
  <si>
    <t xml:space="preserve">в том числе:                                                                      субсидии на финансовое обеспечение выполнения муниципального задания </t>
  </si>
  <si>
    <t>В том числе:                                                               выплаты персоналу, всего</t>
  </si>
  <si>
    <t xml:space="preserve">в том числе:                                                                           оплата труда </t>
  </si>
  <si>
    <t>в том числе:                                                                              оплата труда (заработная плата)</t>
  </si>
  <si>
    <t>в том числе:                                                                           оплата труда (заработная плата)</t>
  </si>
  <si>
    <t>в том числе:                                                                          на выплаты по оплате труда</t>
  </si>
  <si>
    <t>в том числе:                                                                             взносы по обязательному социальному страхованию на выплаты по оплате труда работников и иные выплаты работникам учреждений</t>
  </si>
  <si>
    <t>в том числе:                                                                                     иные налоги, пошлины и сборы</t>
  </si>
  <si>
    <t>в том числе:                                                                               услуги связи</t>
  </si>
  <si>
    <t>в том числе:                                                                               прочие работы, услуги</t>
  </si>
  <si>
    <t xml:space="preserve">Электроэнергия </t>
  </si>
  <si>
    <t>Организация отдыха и оздоровления детей в лагере дневного пребывания (туалетная бумага, бумажные полотенца, салфетки хозяйственные, корзина офисная, средство для стёкол, освежитель, батарейки, чистящее средство, средство для посуды, перчатки резиновые, мешки для мусора, мыло жидкое, держатель для полотенец, антисептик кожный, хлорные таблетки Део-хлор, полотно техническое, веник)</t>
  </si>
  <si>
    <t>СОУТ, оценка профессиональных рисков</t>
  </si>
  <si>
    <t>Светильники</t>
  </si>
  <si>
    <t>Леска для покоса травы</t>
  </si>
  <si>
    <t>18</t>
  </si>
  <si>
    <t>в т.ч. по коду Субсидии - 22-9061030</t>
  </si>
  <si>
    <t>в том числе:                                                          увеличение стоимости мягкого инвентаря</t>
  </si>
  <si>
    <t>Организация отдыха и оздоровления детей в лагере дневного пребывания (Футболки мужские)</t>
  </si>
  <si>
    <t>Организация отдыха и оздоровления детей в лагере дневного пребывания (грамоты, набор для творчества, мелки цветные, фломастеры, бумага цветная, фантаны,   ленты атласные, пакеты, наборы неведимок, головоломка- пятнашка, шар латексный, трубочка для шаров, набор  кистей, наклейки, чехол для бейджика, наборы валанчиков, сетка волейбольная, сетевой фильтр,  мелки цветные, карандаши восковые, блокноты, настольные игры, бадминтон, канцелярские товары (ластики, бумага, ватман, кисти, булавки, блок-закладка, скобы, лента малярная, нож канцелярский и др.)).</t>
  </si>
  <si>
    <t>Устройство покрытия из резиновой крошки на военно-спортивной полосе препятствий</t>
  </si>
  <si>
    <t>Государственная пошлина, уплачиваемая при обращении в суд</t>
  </si>
  <si>
    <t>Возврат средств по предписанию №01-08/500 от 07.07.2022г</t>
  </si>
  <si>
    <t>Комплектующие для компьютера (процессор, кулер для процессора, материнская плата, оперативная память, блок питания, накопитель)</t>
  </si>
  <si>
    <t>Мешки для мусора, салфетки бумажные, салфетки вискозные, перчатки латексные, мыло жидкое, део хлор, пемолюкс, чис.ср-во Прогресс, туалетная бумага, губки, полотенца бумажные, ведро пластм.</t>
  </si>
  <si>
    <t>Краска для пола и стен, штукатурка, растворитель, шпатлевка полимерная, колер, лента малярная, кисти, валики, кюветки, клеенка Мягкое стекло, уголки, сэндвич, термопленка, герметик</t>
  </si>
  <si>
    <t>Государственная пошлина за рассмотрения апеляционной жалобы в 17 Арбитражном апеляционном суде</t>
  </si>
  <si>
    <t>Система контроля управления доступом (домофон на входную группу в большую школу)</t>
  </si>
  <si>
    <t>906.0702…853.295</t>
  </si>
  <si>
    <t>Директор</t>
  </si>
  <si>
    <t>А.С. Бархатова</t>
  </si>
  <si>
    <t>И.Н. Овчинникова</t>
  </si>
  <si>
    <t>Справка №197963 от 01.08.2022г, №278772 от 26.10.2022г (пени по страховым взносам и страховым взносам в ФФОМС, транспортный налог), Требование №661522101565702 от 09.06.2022г (пени по обязательному страхованию от несчастных случаев на произв. и проф. заболеваний)</t>
  </si>
  <si>
    <t>Звонок электронный, драйвер для светильника, батарейки</t>
  </si>
  <si>
    <t>ГВС Компонент на тепловую энергию Гкалл</t>
  </si>
  <si>
    <t>Ремонт системы отопления</t>
  </si>
  <si>
    <t>ИТОГО по коду Субсидии - 22-9063043</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</si>
  <si>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</si>
  <si>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МБОУ "Средняя общеобразовательная школа № 3" на 2023 год   </t>
  </si>
  <si>
    <t>Форма для школьных команд</t>
  </si>
  <si>
    <t>Дез.средства, мыло, туалетная бумага, мешки для мусора, моющие средства, губки</t>
  </si>
  <si>
    <t>Призы для школьников</t>
  </si>
  <si>
    <t>Сейф</t>
  </si>
  <si>
    <t>Шкаф для хранения хоз.инвентаря</t>
  </si>
  <si>
    <t xml:space="preserve">*ФОТ на 2023 год спланирован согласно штатному расписания и тарификации с учетом расходов на замещение лиц уходящих в отпуск, ночные, праздничные, стимулирующие выплаты, а так же с учетом увеличения на 3,7% с 01 октября 2023 года.
</t>
  </si>
  <si>
    <t>*ФОТ на 2023 год без учета выплат пособия за больничные листы за счет организации (отражаются по КОСГУ 266).</t>
  </si>
  <si>
    <t xml:space="preserve">    МБОУ "Средняя общеобразовательная школа № 3"    на 2025 год</t>
  </si>
  <si>
    <t xml:space="preserve">    МБОУ "Средняя общеобразовательная школа № 3" на 2025 год    </t>
  </si>
  <si>
    <t>Монтаж волейбольной сетки</t>
  </si>
  <si>
    <t>ИТОГО по коду Субсидии  23-9061006</t>
  </si>
  <si>
    <t>2025 год</t>
  </si>
  <si>
    <t>Источник бесперебойного питания</t>
  </si>
  <si>
    <t>Бумага для принтера</t>
  </si>
  <si>
    <t>Мел для доски</t>
  </si>
  <si>
    <r>
      <t>Источник финансового обеспечения:</t>
    </r>
    <r>
      <rPr>
        <b/>
        <sz val="11"/>
        <color indexed="8"/>
        <rFont val="Liberation Serif"/>
        <family val="1"/>
      </rPr>
      <t xml:space="preserve"> Местный бюджет, л/счет 20906941010</t>
    </r>
    <r>
      <rPr>
        <b/>
        <sz val="12"/>
        <color indexed="8"/>
        <rFont val="Liberation Serif"/>
        <family val="1"/>
      </rPr>
      <t xml:space="preserve"> (ПФДО)</t>
    </r>
  </si>
  <si>
    <r>
      <t>Источник финансового обеспечения:</t>
    </r>
    <r>
      <rPr>
        <b/>
        <sz val="11"/>
        <color indexed="8"/>
        <rFont val="Liberation Serif"/>
        <family val="1"/>
      </rPr>
      <t xml:space="preserve"> </t>
    </r>
    <r>
      <rPr>
        <b/>
        <sz val="11"/>
        <color indexed="8"/>
        <rFont val="Liberation Serif"/>
        <family val="1"/>
      </rPr>
      <t>Местный бюджет, л/счет 20906941010</t>
    </r>
    <r>
      <rPr>
        <b/>
        <sz val="12"/>
        <color indexed="8"/>
        <rFont val="Liberation Serif"/>
        <family val="1"/>
      </rPr>
      <t xml:space="preserve"> (ПФДО)</t>
    </r>
  </si>
  <si>
    <t>ИТОГО по коду Субсидии  23-9061017</t>
  </si>
  <si>
    <t>1.1. Обоснование (расчет) расходов на оплату труда (кредиторская задолженность)</t>
  </si>
  <si>
    <t>1.4. Обоснование (расчет)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(кредиторская задолженность)</t>
  </si>
  <si>
    <t>71</t>
  </si>
  <si>
    <t xml:space="preserve">6.3. Обоснование (расчет) расходов на оплату коммунальных услуг </t>
  </si>
  <si>
    <t>Электроэнергия  кВт/ч (кредиторская задолженность)</t>
  </si>
  <si>
    <t>Теплоснабжение Гкалл (кредиторская задолженность)</t>
  </si>
  <si>
    <t>ГВС м3 (кредиторская задолженность)</t>
  </si>
  <si>
    <t>ХВС (кредиторская задолженность)</t>
  </si>
  <si>
    <t>Водоотведение (кредиторская задолженность)</t>
  </si>
  <si>
    <t>Техническое обслуживание охранной сигнализации (кредиторская задолженность)</t>
  </si>
  <si>
    <t>Техническое обслуживание пожарной сигнализации (кредиторская задолженность)</t>
  </si>
  <si>
    <t>Техническое обслуживание оборудования для дублирования сигнала "Пожар" (кредиторская задолженность)</t>
  </si>
  <si>
    <t>Комплексное техническое обслуживание инженерных систем теплоснабжения в здании (кредиторская задолженность)</t>
  </si>
  <si>
    <t>Вода питьевая (кредиторская задолженность)</t>
  </si>
  <si>
    <t>Одноразовые стаканчики (кредиторская задолженность)</t>
  </si>
  <si>
    <t>Кредиторская задолженность за 2022 год</t>
  </si>
  <si>
    <t xml:space="preserve">ИТОГО по коду Субсидии  23-9061017 </t>
  </si>
  <si>
    <t>ИТОГО по ст. 211 Кредиторская задолженность за 2022 год</t>
  </si>
  <si>
    <t>ИТОГО по ст. 213 Кредиторская задолженность за 2022 год</t>
  </si>
  <si>
    <t>(23 чел. * 5 000 руб. + 4 чел. * 10 000 руб.)*12*1,15*1,302=2 784 978,00 руб.</t>
  </si>
  <si>
    <t>ИТОГО по коду Субсидии  23-9063022</t>
  </si>
  <si>
    <t>ИТОГО по коду Субсидии  23-9063020</t>
  </si>
  <si>
    <t>ИТОГО по коду Субсидии  23-9063024</t>
  </si>
  <si>
    <t>ИТОГО по коду Субсидии 23-9063020</t>
  </si>
  <si>
    <t>Комплекс образовательных услуг по программам повышения квалицикации и профессиональной переподготовки "Кадровый университет. Все программы" (12мес)</t>
  </si>
  <si>
    <t>Комплекс образовательных услуг по программам повышения квалицикации и профессиональной переподготовки "Школа Главбуха госучреждения. Все программы" (12мес)</t>
  </si>
  <si>
    <t>Пояснения к ПФХД МБОУ СОШ № 3</t>
  </si>
  <si>
    <t>Реализация основных общеобразовательных программ начального общего образования</t>
  </si>
  <si>
    <t>Реализация основных общеобразовательных программ начального общего образования (обучающиеся с ограниченными возможностями здоровья (ОВЗ), адаптированная образовательная программа)</t>
  </si>
  <si>
    <t>Реализация основных общеобразовательных программ начального общего образования (дети-инвалиды, адаптированная образовательная программа)</t>
  </si>
  <si>
    <t>Реализация основных общеобразовательных программ начального общего образования (дети-инвалиды, адаптированная образовательная программа, проходящие обучение по состоянию здоровья на дому)</t>
  </si>
  <si>
    <t>Реализация основных общеобразовательных программ основного общего образования</t>
  </si>
  <si>
    <t>Реализация основных общеобразовательных программ основного общего образования (обучающиеся с ограниченными возможностями здоровья (ОВЗ), адаптированная образовательная программа)</t>
  </si>
  <si>
    <t>Реализация основных общеобразовательных программ среднего общего образования (образовательная программа, обеспечивающая углубленное изучение отдельных учебных предметов, предметных областей (профильное обучение))</t>
  </si>
  <si>
    <t>ИТОГО по коду Субсидии - 23-9063020</t>
  </si>
  <si>
    <t>ИТОГО по коду Субсидии - 23-9063024</t>
  </si>
  <si>
    <t xml:space="preserve">Компьютер </t>
  </si>
  <si>
    <t>ИТОГО по коду Субсидии  23-9061028</t>
  </si>
  <si>
    <t>ИТОГО по коду Субсидии  23-9063026</t>
  </si>
  <si>
    <t>Замки врезные для дверей, механизм секрета (для замка), ручка дверная, направляющая верх, низ и ролики для дверей</t>
  </si>
  <si>
    <t>Обеспечение питанием обучающихся начальных классов (ФБ)</t>
  </si>
  <si>
    <t>Услуги физической охраны (кредиторская задолженность за 2022г) (МБ)</t>
  </si>
  <si>
    <t>Организация отдыха и оздаровления детей в каникулярное время(приобретение путевок в МАУ ДЗОЛ "Заря" г. Асбест)(МБ)</t>
  </si>
  <si>
    <t>Организация отдыха и оздаровления детей в каникулярное время(приобретение путевок в ДОЛ "Рассветный" с. Кадниково)(МБ)</t>
  </si>
  <si>
    <t>Организация отдыха и оздаровления детей в каникулярное время(Туристические походы)(МБ)</t>
  </si>
  <si>
    <t>Организация отдыха и оздаровления детей в каникулярное время(приобретение путевок в МАУ ДЗОЛ "Заря" г. Асбест)(ОБ)</t>
  </si>
  <si>
    <t>Организация отдыха и оздаровления детей в каникулярное время(приобретение путевок в ДОЛ "Рассветный" с.Кадниково)(ОБ)</t>
  </si>
  <si>
    <t>Организация отдыха и оздаровления детей в каникулярное время(приобретение путевок в ДОЛ "Заря" с.Кадниково)(ОБ)</t>
  </si>
  <si>
    <t>Организация отдыха и оздаровления детей в каникулярное время(Лагерь дневного пребывания)(МБ)</t>
  </si>
  <si>
    <t>115</t>
  </si>
  <si>
    <t>Организация отдыха и оздоровления детей в лагере дневного пребывания (оплата труда)</t>
  </si>
  <si>
    <t>Резервные фонды Правительства Свердловской области (Приобретение и монтаж гардеробной системы)</t>
  </si>
  <si>
    <t>ИТОГО по коду Субсидии  23-9063029</t>
  </si>
  <si>
    <t>Организация отдыха и оздоровления детей в лагере дневного пребывания (туалетная бумага)</t>
  </si>
  <si>
    <t>Организация отдыха и оздоровления детей в лагере дневного пребывания (бумажные полотенца)</t>
  </si>
  <si>
    <t>Организация отдыха и оздоровления детей в лагере дневного пребывания (салфетки хозяйственные)</t>
  </si>
  <si>
    <t>Организация отдыха и оздоровления детей в лагере дневного пребывания (средство для стёкол)</t>
  </si>
  <si>
    <t>Организация отдыха и оздоровления детей в лагере дневного пребывания (чистящее средство)</t>
  </si>
  <si>
    <t>Организация отдыха и оздоровления детей в лагере дневного пребывания (перчатки резиновые)</t>
  </si>
  <si>
    <t>Организация отдыха и оздоровления детей в лагере дневного пребывания (мешки для мусора)</t>
  </si>
  <si>
    <t>Организация отдыха и оздоровления детей в лагере дневного пребывания (мыло жидкое)</t>
  </si>
  <si>
    <t>Организация отдыха и оздоровления детей в лагере дневного пребывания (хлорные таблетки Део-хлор)</t>
  </si>
  <si>
    <t>Организация отдыха и оздоровления детей в лагере дневного пребывания (брелки, сувениры)</t>
  </si>
  <si>
    <t>Организация отдыха и оздоровления детей в лагере дневного пребывания (настольная игра)</t>
  </si>
  <si>
    <t>Организация отдыха и оздоровления детей в лагере дневного пребывания (мяч волейбольный)</t>
  </si>
  <si>
    <t>Организация отдыха и оздоровления детей в лагере дневного пребывания (бадминтон)</t>
  </si>
  <si>
    <t>Организация отдыха и оздоровления детей в лагере дневного пребывания (набор для творчества)</t>
  </si>
  <si>
    <t>Организация отдыха и оздоровления детей в лагере дневного пребывания (грамоты)</t>
  </si>
  <si>
    <t>Организация отдыха и оздоровления детей в лагере дневного пребывания (канцелярские товары)</t>
  </si>
  <si>
    <t>ИТОГО по коду Субсидии - 23-9063032</t>
  </si>
  <si>
    <t>ИТОГО по коду Субсидии  23-9063032</t>
  </si>
  <si>
    <t>ИТОГО по коду Субсидии - 23-9061028</t>
  </si>
  <si>
    <t>Обучение по охране труда</t>
  </si>
  <si>
    <t>8</t>
  </si>
  <si>
    <t>9</t>
  </si>
  <si>
    <t xml:space="preserve">Краска, эмаль </t>
  </si>
  <si>
    <t>Колер</t>
  </si>
  <si>
    <t>Шпатлевка полимерная</t>
  </si>
  <si>
    <t>Пена бытовая</t>
  </si>
  <si>
    <t>Ручки дверные</t>
  </si>
  <si>
    <t>Сантехническая завертка</t>
  </si>
  <si>
    <t>Петли для дверей</t>
  </si>
  <si>
    <t>Канцелярские, чертежные и письменные принадлежности</t>
  </si>
  <si>
    <t xml:space="preserve"> </t>
  </si>
  <si>
    <t>Право использования программы для ЭВМ "Контур.Диадок"</t>
  </si>
  <si>
    <t>Валики</t>
  </si>
  <si>
    <t>Кисточки</t>
  </si>
  <si>
    <t>Внедрение механизмов инициативного бюджетирования "Совершенствование материальной базы, как средство развития и продвижения детских объединений военно-патреотической и спрортивной направленности" (ОБ)(Форма для школьных команд)</t>
  </si>
  <si>
    <t>ИТОГО по коду Субсидии  23-9063031</t>
  </si>
  <si>
    <t>ИТОГО по коду Субсидии  23-9061032</t>
  </si>
  <si>
    <t>30</t>
  </si>
  <si>
    <t>Внедрение механизмов инициативного бюджетирования "Совершенствование материальной базы, как средство развития и продвижения детских объединений военно-патреотической и спрортивной направленности" (МБ, средства населения, средства бизнеса) (Форма для школьных команд)</t>
  </si>
  <si>
    <t>Техническое обслуживание систем видеонаблюдения в здании</t>
  </si>
  <si>
    <t>Ремонт пароконвектомата (замена и настройка преобразователя частоты)</t>
  </si>
  <si>
    <t>ИТОГО по виду расходов 852  по ст. 291</t>
  </si>
  <si>
    <t>ИТОГО по виду расходов 853 по ст. 292</t>
  </si>
  <si>
    <t>Мячи волейбольные и баскетбольные</t>
  </si>
  <si>
    <t>Светодиодная лампа матовая, лампа-термоизлучатель</t>
  </si>
  <si>
    <t>Автоматы электрические</t>
  </si>
  <si>
    <t>11</t>
  </si>
  <si>
    <t>Выключатель автоматический к автоматом элекрическим</t>
  </si>
  <si>
    <t>Удлинители</t>
  </si>
  <si>
    <t>1/2кл-счетчик 3ф А/Р тариф</t>
  </si>
  <si>
    <t>л/с 20906941020 (Областной бюджет)</t>
  </si>
  <si>
    <t>Реализация основных общеобразовательных программ основного общего образования (дети-инвалиды, адаптированная образовательная программа)</t>
  </si>
  <si>
    <t>Реализация основных общеобразовательных программ основного общего образования (обучающиеся с ограниченными возможностями здоровья (ОВЗ), адаптированная образовательная программа, проходящие обучение по состоянию здоровья на дому)</t>
  </si>
  <si>
    <t>Бинты, перекись водорода, зеленка, лейкопластырь, вата, йод и т.д.</t>
  </si>
  <si>
    <t>Ремонт системы оповещения о пожаре при отключении электричества (Замена аккумуляторной батареи)</t>
  </si>
  <si>
    <t>Государственная пошлина за рассмотрения кассационной жалобы в Арбитражном суде Уральского округа</t>
  </si>
  <si>
    <t>Начисления на ФОТ в связи с индексацией заработной платы с 01.10.2023 г.</t>
  </si>
  <si>
    <t>л/с 23906941000 (Внебюджет)</t>
  </si>
  <si>
    <t>Организация горячего питания обучающихся</t>
  </si>
  <si>
    <t>Воллейбольная сетка со стойками</t>
  </si>
  <si>
    <t>л/с 20906941010 (Местный бюджет)</t>
  </si>
  <si>
    <t>-3400,00</t>
  </si>
  <si>
    <t>-4315,00</t>
  </si>
  <si>
    <t>-12280,0</t>
  </si>
  <si>
    <t>-1993,28</t>
  </si>
  <si>
    <t>244.223</t>
  </si>
  <si>
    <t>-3898,00</t>
  </si>
  <si>
    <t>Кабель алюминиевый силовой</t>
  </si>
  <si>
    <t>17</t>
  </si>
  <si>
    <t>Лампы светодиодные</t>
  </si>
  <si>
    <t>-5000,00</t>
  </si>
  <si>
    <t>-42046,00</t>
  </si>
  <si>
    <t>-1200,00</t>
  </si>
  <si>
    <t>+0,01</t>
  </si>
  <si>
    <t>-34348,01</t>
  </si>
  <si>
    <t>Водоотведение; Обращение с ТКО</t>
  </si>
  <si>
    <t>+10549,53</t>
  </si>
  <si>
    <t>+11438,75</t>
  </si>
  <si>
    <t>+490043,00</t>
  </si>
  <si>
    <t>+147994,02</t>
  </si>
  <si>
    <t>+3862,98</t>
  </si>
  <si>
    <t>Заработная плата (на основании письма Отдела образования № 03-01-31/1138 от 13.12.2023г.)</t>
  </si>
  <si>
    <t>Страховые вычеты с заработной платы (на основании письма Отдела образования № 03-01-31/1138 от 13.12.2023г.)</t>
  </si>
  <si>
    <t>Выплата пособия за первых три дня больничных листа (на основании письма Отдела образования № 03-01-31/1138 от 13.12.2023г.)</t>
  </si>
  <si>
    <t>Заработная плата</t>
  </si>
  <si>
    <t xml:space="preserve">Страховые вычеты с заработной платы </t>
  </si>
  <si>
    <t xml:space="preserve">Выплата пособия за первых три дня больничных листа </t>
  </si>
  <si>
    <t>+19610,64</t>
  </si>
  <si>
    <t>+5922,41</t>
  </si>
  <si>
    <t>-25533,05</t>
  </si>
  <si>
    <t>22.12.2023</t>
  </si>
  <si>
    <t xml:space="preserve">    МБОУ "Средняя общеобразовательная школа № 3" на 2024 год   </t>
  </si>
  <si>
    <t xml:space="preserve">*ФОТ на 2024 год спланирован согласно штатному расписания и тарификации с учетом расходов на замещение лиц уходящих в отпуск, ночные, праздничные, стимулирующие выплаты, а так же с учетом увеличения на 3,7% с 01 октября 2024 года.
</t>
  </si>
  <si>
    <t>*ФОТ на 2024 год без учета выплат пособия за больничные листы за счет организации (отражаются по КОСГУ 266).</t>
  </si>
  <si>
    <t>Техническое обслуживание вентиляции</t>
  </si>
  <si>
    <t xml:space="preserve">Аварийный и текущий ремонт систем теплоснабжения в здании </t>
  </si>
  <si>
    <t>Испытание сопративления изоляции</t>
  </si>
  <si>
    <t>Канцелярские товары (ручки, карандаши, клей, файлы, папки, закладки и т.д.</t>
  </si>
  <si>
    <t xml:space="preserve">    МБОУ "Средняя общеобразовательная школа № 3"    на 2026 год</t>
  </si>
  <si>
    <t>*ФОТ на 2024 год спланирован согласно штатному расписания и тарификации с учетом расходов на замещение лиц уходящих в отпуск, ночные, праздничные, стимулирующие выплаты, а так же с учетом увеличения на 4,3 % с 01 октября 2024 года.</t>
  </si>
  <si>
    <t xml:space="preserve">    МБОУ "Средняя общеобразовательная школа № 3"     на 2024 год</t>
  </si>
  <si>
    <t>ФОТ в связи с  индексацией заработной платы с 01.10.2024г</t>
  </si>
  <si>
    <t>*ФОТ на 2024 год спланирован согласно штатному расписания и тарификации с учетом расходов на замещение лиц уходящих в отпуск, ночные, праздничные, стимулирующие выплаты, а так же с учетом увеличения на 3,8 % с 01 октября 2024 года.</t>
  </si>
  <si>
    <t xml:space="preserve">    МБОУ "Средняя общеобразовательная школа № 3" на 2026 год    </t>
  </si>
  <si>
    <t xml:space="preserve">    МБОУ "Средняя общеобразовательная школа № 3" на 2024 год</t>
  </si>
  <si>
    <t>Требование  (Пени по страховым взносам)</t>
  </si>
  <si>
    <t>2026 год</t>
  </si>
  <si>
    <t>Программа Госфинансы(кредиторская задолженность за 2022г) (МБ)</t>
  </si>
  <si>
    <t xml:space="preserve"> Организация военно-патриотического воспитания и допризывной подготовки молодых граждан (ОБ) (Винтовки для тира)</t>
  </si>
  <si>
    <t xml:space="preserve"> Организация военно-патриотического воспитания и допризывной подготовки молодых граждан (МБ) (Винтовки для тира)</t>
  </si>
  <si>
    <t>Определение нормативных затрат на оказание муниципальных услуг на 2024 год и плановый период 2025-2026 годов</t>
  </si>
  <si>
    <t>ИТОГО по коду Субсидии  24-9061012</t>
  </si>
  <si>
    <t>ИТОГО по коду Субсидии  24-9061013</t>
  </si>
  <si>
    <t>ИТОГО по коду Субсидии  24-9061012 Кредиторская задолженность за 2023 год</t>
  </si>
  <si>
    <t>ИТОГО по коду Субсидии  24-9063014</t>
  </si>
  <si>
    <t>ИТОГО по коду Субсидии  24-9061015</t>
  </si>
  <si>
    <t>Капитальный ремонт, разработка проектно-сметной документации, приведение в соответствие с требованиями пожарной и антитеррористической безопасности, санитарного законодательства зданий и помещений, в которых размещаются муниципальные образовательные организации, в том числе на осуществление мероприятий, направленных на устранение нарушений, выявленных органами государственного надзора в результате проверок (ремонт эвакуационных выходов, спортзала)(Ремонт спортзала (смета))</t>
  </si>
  <si>
    <t>Капитальный ремонт, разработка проектно-сметной документации, приведение в соответствие с требованиями пожарной и антитеррористической безопасности, санитарного законодательства зданий и помещений, в которых размещаются муниципальные образовательные организации, в том числе на осуществление мероприятий, направленных на устранение нарушений, выявленных органами государственного надзора в результате проверок (ремонт эвакуационных выходов, спортзала) (Ремонт эвакуационных выходов (предписание ГУ МЧС))</t>
  </si>
  <si>
    <t>Реализация основных общеобразовательных программ основного общего образования (дети-инвалиды, адаптированная образовательная программа, проходящие обучение по состоянию здоровья на дому)</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</si>
</sst>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р_._-;\-* #,##0_р_._-;_-* &quot;-&quot;_р_.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 _₽"/>
    <numFmt numFmtId="188" formatCode="#,##0.0"/>
    <numFmt numFmtId="189" formatCode="0.00000"/>
    <numFmt numFmtId="190" formatCode="0.0000"/>
    <numFmt numFmtId="191" formatCode="0.000"/>
    <numFmt numFmtId="192" formatCode="0.0"/>
    <numFmt numFmtId="193" formatCode="0.000000"/>
    <numFmt numFmtId="194" formatCode="#,##0.000"/>
    <numFmt numFmtId="195" formatCode="_-* #,##0\ _₽_-;\-* #,##0\ _₽_-;_-* &quot;-&quot;??\ _₽_-;_-@_-"/>
    <numFmt numFmtId="196" formatCode="#,##0.00\ &quot;₽&quot;"/>
    <numFmt numFmtId="197" formatCode="#,##0.00_ ;\-#,##0.00\ "/>
  </numFmts>
  <fonts count="86">
    <font>
      <sz val="11"/>
      <color theme="1"/>
      <name val="Calibri"/>
      <family val="2"/>
    </font>
    <font>
      <sz val="11"/>
      <color indexed="8"/>
      <name val="Calibri"/>
      <family val="2"/>
    </font>
    <font>
      <b/>
      <sz val="12"/>
      <color indexed="8"/>
      <name val="Times New Roman"/>
      <family val="1"/>
    </font>
    <font>
      <b/>
      <sz val="11"/>
      <color indexed="8"/>
      <name val="Calibri"/>
      <family val="2"/>
    </font>
    <font>
      <sz val="8"/>
      <name val="Calibri"/>
      <family val="2"/>
    </font>
    <font>
      <sz val="12"/>
      <color indexed="8"/>
      <name val="Calibri"/>
      <family val="2"/>
    </font>
    <font>
      <b/>
      <sz val="12"/>
      <color indexed="8"/>
      <name val="Calibri"/>
      <family val="2"/>
    </font>
    <font>
      <sz val="12"/>
      <color indexed="8"/>
      <name val="Times New Roman"/>
      <family val="1"/>
    </font>
    <font>
      <b/>
      <i/>
      <u val="single"/>
      <sz val="12"/>
      <color indexed="8"/>
      <name val="Liberation Serif"/>
      <family val="1"/>
    </font>
    <font>
      <b/>
      <i/>
      <u val="single"/>
      <sz val="14"/>
      <color indexed="8"/>
      <name val="Liberation Serif"/>
      <family val="1"/>
    </font>
    <font>
      <sz val="12"/>
      <name val="Liberation Serif"/>
      <family val="1"/>
    </font>
    <font>
      <b/>
      <sz val="12"/>
      <color indexed="8"/>
      <name val="Liberation Serif"/>
      <family val="1"/>
    </font>
    <font>
      <sz val="12"/>
      <color indexed="8"/>
      <name val="Liberation Serif"/>
      <family val="1"/>
    </font>
    <font>
      <sz val="11"/>
      <color indexed="8"/>
      <name val="Liberation Serif"/>
      <family val="1"/>
    </font>
    <font>
      <sz val="10"/>
      <color indexed="8"/>
      <name val="Liberation Serif"/>
      <family val="1"/>
    </font>
    <font>
      <sz val="9"/>
      <color indexed="8"/>
      <name val="Liberation Serif"/>
      <family val="1"/>
    </font>
    <font>
      <b/>
      <sz val="12"/>
      <name val="Liberation Serif"/>
      <family val="1"/>
    </font>
    <font>
      <sz val="11"/>
      <name val="Liberation Serif"/>
      <family val="1"/>
    </font>
    <font>
      <b/>
      <sz val="11"/>
      <color indexed="8"/>
      <name val="Liberation Serif"/>
      <family val="1"/>
    </font>
    <font>
      <sz val="10"/>
      <color indexed="8"/>
      <name val="Calibri"/>
      <family val="2"/>
    </font>
    <font>
      <b/>
      <sz val="8"/>
      <color indexed="8"/>
      <name val="Calibri"/>
      <family val="2"/>
    </font>
    <font>
      <u val="single"/>
      <sz val="12"/>
      <color indexed="8"/>
      <name val="Liberation Serif"/>
      <family val="1"/>
    </font>
    <font>
      <b/>
      <sz val="9"/>
      <color indexed="8"/>
      <name val="Liberation Serif"/>
      <family val="1"/>
    </font>
    <font>
      <b/>
      <u val="single"/>
      <sz val="12"/>
      <color indexed="8"/>
      <name val="Liberation Serif"/>
      <family val="1"/>
    </font>
    <font>
      <u val="single"/>
      <sz val="12"/>
      <color indexed="8"/>
      <name val="Times New Roman"/>
      <family val="1"/>
    </font>
    <font>
      <b/>
      <u val="single"/>
      <sz val="12"/>
      <color indexed="8"/>
      <name val="Times New Roman"/>
      <family val="1"/>
    </font>
    <font>
      <sz val="9"/>
      <color indexed="8"/>
      <name val="Times New Roman"/>
      <family val="1"/>
    </font>
    <font>
      <i/>
      <sz val="12"/>
      <name val="Liberation Serif"/>
      <family val="1"/>
    </font>
    <font>
      <sz val="10"/>
      <color indexed="8"/>
      <name val="Times New Roman"/>
      <family val="1"/>
    </font>
    <font>
      <b/>
      <sz val="10"/>
      <color indexed="8"/>
      <name val="Times New Roman"/>
      <family val="1"/>
    </font>
    <font>
      <sz val="9"/>
      <name val="Times New Roman"/>
      <family val="1"/>
    </font>
    <font>
      <b/>
      <sz val="10"/>
      <color indexed="8"/>
      <name val="Liberation Serif"/>
      <family val="1"/>
    </font>
    <font>
      <sz val="14"/>
      <color indexed="8"/>
      <name val="Liberation Serif"/>
      <family val="1"/>
    </font>
    <font>
      <u val="single"/>
      <sz val="11"/>
      <color indexed="8"/>
      <name val="Liberation Serif"/>
      <family val="1"/>
    </font>
    <font>
      <u val="single"/>
      <sz val="14"/>
      <color indexed="8"/>
      <name val="Liberation Serif"/>
      <family val="1"/>
    </font>
    <font>
      <i/>
      <sz val="12"/>
      <color indexed="8"/>
      <name val="Liberation Serif"/>
      <family val="1"/>
    </font>
    <font>
      <b/>
      <sz val="12"/>
      <color indexed="8"/>
      <name val="New Century Schoolbook"/>
      <family val="1"/>
    </font>
    <font>
      <sz val="12"/>
      <color indexed="8"/>
      <name val="New Century Schoolbook"/>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Liberation Serif"/>
      <family val="1"/>
    </font>
    <font>
      <b/>
      <sz val="12"/>
      <color theme="1"/>
      <name val="Liberation Serif"/>
      <family val="1"/>
    </font>
    <font>
      <sz val="12"/>
      <color theme="1"/>
      <name val="Times New Roman"/>
      <family val="1"/>
    </font>
    <font>
      <sz val="10"/>
      <color theme="1"/>
      <name val="Times New Roman"/>
      <family val="1"/>
    </font>
    <font>
      <sz val="9"/>
      <color theme="1"/>
      <name val="Times New Roman"/>
      <family val="1"/>
    </font>
    <font>
      <b/>
      <sz val="10"/>
      <color theme="1"/>
      <name val="Times New Roman"/>
      <family val="1"/>
    </font>
    <font>
      <sz val="12"/>
      <color theme="1"/>
      <name val="Calibri"/>
      <family val="2"/>
    </font>
    <font>
      <sz val="11"/>
      <color theme="1"/>
      <name val="Liberation Serif"/>
      <family val="1"/>
    </font>
    <font>
      <sz val="14"/>
      <color theme="1"/>
      <name val="Liberation Serif"/>
      <family val="1"/>
    </font>
    <font>
      <b/>
      <sz val="12"/>
      <color theme="1"/>
      <name val="Calibri"/>
      <family val="2"/>
    </font>
    <font>
      <u val="single"/>
      <sz val="12"/>
      <color theme="1"/>
      <name val="Times New Roman"/>
      <family val="1"/>
    </font>
    <font>
      <b/>
      <sz val="12"/>
      <color rgb="FF000000"/>
      <name val="Liberation Serif"/>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style="thin"/>
      <right>
        <color indexed="63"/>
      </right>
      <top style="thin"/>
      <bottom style="thin"/>
    </border>
    <border>
      <left style="thin"/>
      <right style="thin"/>
      <top style="thin"/>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top style="thin"/>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26" borderId="1" applyNumberFormat="0" applyAlignment="0" applyProtection="0"/>
    <xf numFmtId="0" fontId="60" fillId="0" borderId="0" applyNumberForma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73" fillId="31" borderId="0" applyNumberFormat="0" applyBorder="0" applyAlignment="0" applyProtection="0"/>
  </cellStyleXfs>
  <cellXfs count="714">
    <xf numFmtId="0" fontId="0" fillId="0" borderId="0" xfId="0" applyFont="1" applyAlignment="1">
      <alignment/>
    </xf>
    <xf numFmtId="0" fontId="0" fillId="0" borderId="0" xfId="0" applyFont="1" applyAlignment="1">
      <alignment/>
    </xf>
    <xf numFmtId="0" fontId="0" fillId="0" borderId="0" xfId="0" applyBorder="1"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Alignment="1">
      <alignment vertical="top" wrapText="1"/>
    </xf>
    <xf numFmtId="0" fontId="2" fillId="0" borderId="0" xfId="0" applyFont="1" applyAlignment="1">
      <alignment vertical="top" wrapText="1"/>
    </xf>
    <xf numFmtId="0" fontId="7" fillId="0" borderId="0" xfId="0" applyFont="1" applyFill="1" applyAlignment="1">
      <alignment vertical="top" wrapText="1"/>
    </xf>
    <xf numFmtId="0" fontId="2" fillId="0" borderId="0" xfId="0" applyFont="1" applyFill="1" applyAlignment="1">
      <alignment vertical="top" wrapText="1"/>
    </xf>
    <xf numFmtId="0" fontId="3" fillId="0" borderId="0" xfId="0" applyFont="1" applyFill="1" applyAlignment="1">
      <alignment/>
    </xf>
    <xf numFmtId="0" fontId="0" fillId="0" borderId="0" xfId="0" applyAlignment="1">
      <alignment wrapText="1"/>
    </xf>
    <xf numFmtId="0" fontId="0" fillId="0" borderId="0" xfId="0" applyAlignment="1">
      <alignment horizontal="center" vertical="center" wrapText="1"/>
    </xf>
    <xf numFmtId="49" fontId="10" fillId="32" borderId="10" xfId="0" applyNumberFormat="1" applyFont="1" applyFill="1" applyBorder="1" applyAlignment="1">
      <alignment horizontal="center" vertical="center" wrapText="1"/>
    </xf>
    <xf numFmtId="0" fontId="10" fillId="32" borderId="11" xfId="0" applyFont="1" applyFill="1" applyBorder="1" applyAlignment="1">
      <alignment horizontal="center" vertical="center" wrapText="1"/>
    </xf>
    <xf numFmtId="4" fontId="11" fillId="32" borderId="10" xfId="0" applyNumberFormat="1" applyFont="1" applyFill="1" applyBorder="1" applyAlignment="1">
      <alignment horizontal="center" vertical="center" wrapText="1"/>
    </xf>
    <xf numFmtId="4" fontId="10" fillId="32" borderId="11" xfId="0" applyNumberFormat="1" applyFont="1" applyFill="1" applyBorder="1" applyAlignment="1">
      <alignment horizontal="right" vertical="center" wrapText="1"/>
    </xf>
    <xf numFmtId="49" fontId="10" fillId="32" borderId="11" xfId="0" applyNumberFormat="1" applyFont="1" applyFill="1" applyBorder="1" applyAlignment="1">
      <alignment horizontal="center" vertical="center" wrapText="1"/>
    </xf>
    <xf numFmtId="0" fontId="11" fillId="33" borderId="11" xfId="0" applyFont="1" applyFill="1" applyBorder="1" applyAlignment="1">
      <alignment horizontal="left" vertical="center" wrapText="1"/>
    </xf>
    <xf numFmtId="49" fontId="11" fillId="33" borderId="11"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 fontId="11" fillId="33" borderId="10" xfId="0" applyNumberFormat="1" applyFont="1" applyFill="1" applyBorder="1" applyAlignment="1">
      <alignment horizontal="right" vertical="center" wrapText="1"/>
    </xf>
    <xf numFmtId="0" fontId="11" fillId="0" borderId="0" xfId="0" applyFont="1" applyFill="1" applyAlignment="1">
      <alignment/>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 fontId="12" fillId="0" borderId="10" xfId="0" applyNumberFormat="1" applyFont="1" applyFill="1" applyBorder="1" applyAlignment="1">
      <alignment horizontal="right" vertical="center" wrapText="1"/>
    </xf>
    <xf numFmtId="0" fontId="11" fillId="0" borderId="11" xfId="0" applyFont="1" applyBorder="1" applyAlignment="1">
      <alignment horizontal="left" vertical="center" wrapText="1"/>
    </xf>
    <xf numFmtId="49"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1" fillId="0" borderId="10"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4" fontId="12" fillId="34" borderId="10" xfId="0" applyNumberFormat="1" applyFont="1" applyFill="1" applyBorder="1" applyAlignment="1">
      <alignment horizontal="right" vertical="center" wrapText="1"/>
    </xf>
    <xf numFmtId="0" fontId="14" fillId="0" borderId="11" xfId="0" applyFont="1" applyBorder="1" applyAlignment="1">
      <alignment horizontal="left" vertical="center" wrapText="1"/>
    </xf>
    <xf numFmtId="0" fontId="14" fillId="0" borderId="11" xfId="0" applyFont="1" applyFill="1" applyBorder="1" applyAlignment="1">
      <alignment horizontal="left" vertical="center" wrapText="1"/>
    </xf>
    <xf numFmtId="49" fontId="16" fillId="33" borderId="11"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4" fontId="16" fillId="33" borderId="11" xfId="0" applyNumberFormat="1" applyFont="1" applyFill="1" applyBorder="1" applyAlignment="1">
      <alignment horizontal="right" vertical="center" wrapText="1"/>
    </xf>
    <xf numFmtId="4" fontId="10" fillId="33" borderId="11" xfId="0" applyNumberFormat="1" applyFont="1" applyFill="1" applyBorder="1" applyAlignment="1">
      <alignment horizontal="right" vertical="center" wrapText="1"/>
    </xf>
    <xf numFmtId="49" fontId="10"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4" fontId="10" fillId="0" borderId="11" xfId="0" applyNumberFormat="1" applyFont="1" applyFill="1" applyBorder="1" applyAlignment="1">
      <alignment horizontal="right" vertical="center" wrapText="1"/>
    </xf>
    <xf numFmtId="49"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10" fillId="0" borderId="11" xfId="0" applyNumberFormat="1" applyFont="1" applyFill="1" applyBorder="1" applyAlignment="1">
      <alignment vertical="center" wrapText="1"/>
    </xf>
    <xf numFmtId="4" fontId="10" fillId="0" borderId="13" xfId="0" applyNumberFormat="1" applyFont="1" applyFill="1" applyBorder="1" applyAlignment="1">
      <alignment horizontal="right" vertical="center" wrapText="1"/>
    </xf>
    <xf numFmtId="0" fontId="10" fillId="0" borderId="10"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 fontId="14" fillId="0" borderId="10" xfId="0" applyNumberFormat="1" applyFont="1" applyFill="1" applyBorder="1" applyAlignment="1">
      <alignment horizontal="right" vertical="center" wrapText="1"/>
    </xf>
    <xf numFmtId="0" fontId="74" fillId="0" borderId="0" xfId="0" applyFont="1" applyFill="1" applyAlignment="1">
      <alignment/>
    </xf>
    <xf numFmtId="0" fontId="74" fillId="0" borderId="0" xfId="0" applyFont="1" applyFill="1" applyAlignment="1">
      <alignment/>
    </xf>
    <xf numFmtId="0" fontId="12" fillId="0" borderId="14" xfId="0" applyFont="1" applyFill="1" applyBorder="1" applyAlignment="1">
      <alignment horizontal="center" vertical="center" wrapText="1"/>
    </xf>
    <xf numFmtId="0" fontId="74" fillId="0" borderId="0" xfId="0" applyFont="1" applyAlignment="1">
      <alignment horizontal="center"/>
    </xf>
    <xf numFmtId="0" fontId="19" fillId="0" borderId="0" xfId="0" applyFont="1" applyFill="1" applyAlignment="1">
      <alignment/>
    </xf>
    <xf numFmtId="0" fontId="1" fillId="0" borderId="0" xfId="0" applyFont="1" applyFill="1" applyAlignment="1">
      <alignment/>
    </xf>
    <xf numFmtId="0" fontId="20" fillId="0" borderId="0" xfId="0" applyFont="1" applyFill="1" applyAlignment="1">
      <alignment/>
    </xf>
    <xf numFmtId="0" fontId="11" fillId="0" borderId="0" xfId="0" applyFont="1" applyFill="1" applyAlignment="1">
      <alignment horizontal="center" vertical="center" wrapText="1"/>
    </xf>
    <xf numFmtId="0" fontId="11" fillId="0" borderId="15" xfId="0" applyFont="1" applyFill="1" applyBorder="1" applyAlignment="1">
      <alignment horizontal="center" vertical="center" wrapText="1"/>
    </xf>
    <xf numFmtId="0" fontId="75" fillId="0" borderId="0" xfId="0" applyFont="1" applyAlignment="1">
      <alignment horizontal="center"/>
    </xf>
    <xf numFmtId="49" fontId="16" fillId="0" borderId="13"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4" fontId="16" fillId="0" borderId="11" xfId="0" applyNumberFormat="1" applyFont="1" applyFill="1" applyBorder="1" applyAlignment="1">
      <alignment horizontal="right" vertical="center" wrapText="1"/>
    </xf>
    <xf numFmtId="49" fontId="1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64" fillId="0" borderId="0" xfId="0" applyFont="1" applyAlignment="1">
      <alignment/>
    </xf>
    <xf numFmtId="0" fontId="0" fillId="0" borderId="0" xfId="0" applyFont="1" applyBorder="1" applyAlignment="1">
      <alignment/>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74" fillId="0" borderId="0" xfId="0" applyNumberFormat="1" applyFont="1" applyAlignment="1">
      <alignment horizontal="center"/>
    </xf>
    <xf numFmtId="49" fontId="74" fillId="0" borderId="0" xfId="0" applyNumberFormat="1" applyFont="1" applyAlignment="1">
      <alignment horizontal="center" wrapText="1"/>
    </xf>
    <xf numFmtId="0" fontId="74" fillId="0" borderId="0" xfId="0" applyFont="1" applyAlignment="1">
      <alignment horizontal="center" wrapText="1"/>
    </xf>
    <xf numFmtId="0" fontId="75" fillId="0" borderId="0" xfId="0" applyFont="1" applyAlignment="1">
      <alignment horizontal="center" wrapText="1"/>
    </xf>
    <xf numFmtId="0" fontId="74" fillId="0" borderId="0" xfId="0" applyFont="1" applyFill="1" applyAlignment="1">
      <alignment wrapText="1"/>
    </xf>
    <xf numFmtId="0" fontId="74" fillId="0" borderId="11" xfId="0" applyFont="1" applyBorder="1" applyAlignment="1">
      <alignment horizontal="center" vertical="center" wrapText="1"/>
    </xf>
    <xf numFmtId="49" fontId="75" fillId="0" borderId="11" xfId="0" applyNumberFormat="1" applyFont="1" applyBorder="1" applyAlignment="1">
      <alignment horizontal="center" vertical="center"/>
    </xf>
    <xf numFmtId="0" fontId="75" fillId="0" borderId="11" xfId="0" applyFont="1" applyBorder="1" applyAlignment="1">
      <alignment horizontal="center" vertical="center"/>
    </xf>
    <xf numFmtId="0" fontId="75" fillId="0" borderId="11" xfId="0" applyFont="1" applyFill="1" applyBorder="1" applyAlignment="1">
      <alignment horizontal="center" vertical="center"/>
    </xf>
    <xf numFmtId="0" fontId="64" fillId="0" borderId="11" xfId="0" applyFont="1" applyBorder="1" applyAlignment="1">
      <alignment horizontal="center" vertical="center"/>
    </xf>
    <xf numFmtId="49" fontId="74" fillId="0" borderId="11" xfId="0" applyNumberFormat="1" applyFont="1" applyBorder="1" applyAlignment="1">
      <alignment horizontal="center" vertical="center" wrapText="1"/>
    </xf>
    <xf numFmtId="0" fontId="74"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8" fillId="0" borderId="0" xfId="0" applyFont="1" applyFill="1" applyAlignment="1">
      <alignment horizontal="left" vertical="center" wrapText="1"/>
    </xf>
    <xf numFmtId="0" fontId="10" fillId="32" borderId="11"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74" fillId="0" borderId="11" xfId="0" applyFont="1" applyBorder="1" applyAlignment="1">
      <alignment horizontal="left" vertical="center" wrapText="1"/>
    </xf>
    <xf numFmtId="0" fontId="74" fillId="0" borderId="0" xfId="0" applyFont="1" applyAlignment="1">
      <alignment horizontal="left" wrapText="1"/>
    </xf>
    <xf numFmtId="0" fontId="74" fillId="0" borderId="0" xfId="0" applyFont="1" applyAlignment="1">
      <alignment horizontal="left"/>
    </xf>
    <xf numFmtId="0" fontId="64" fillId="0" borderId="11" xfId="0" applyFont="1" applyBorder="1" applyAlignment="1">
      <alignment horizontal="center" vertical="center" wrapText="1"/>
    </xf>
    <xf numFmtId="0" fontId="64" fillId="0" borderId="11" xfId="0" applyFont="1" applyFill="1" applyBorder="1" applyAlignment="1">
      <alignment horizontal="center" vertical="center" wrapText="1"/>
    </xf>
    <xf numFmtId="0" fontId="75" fillId="35" borderId="11" xfId="0" applyFont="1" applyFill="1" applyBorder="1" applyAlignment="1">
      <alignment horizontal="left" vertical="center" wrapText="1"/>
    </xf>
    <xf numFmtId="49" fontId="75" fillId="35" borderId="11" xfId="0" applyNumberFormat="1" applyFont="1" applyFill="1" applyBorder="1" applyAlignment="1">
      <alignment horizontal="center" vertical="center" wrapText="1"/>
    </xf>
    <xf numFmtId="0" fontId="75" fillId="35" borderId="11" xfId="0" applyFont="1" applyFill="1" applyBorder="1" applyAlignment="1">
      <alignment horizontal="center" vertical="center" wrapText="1"/>
    </xf>
    <xf numFmtId="0" fontId="0" fillId="0" borderId="0" xfId="0"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19" fillId="0" borderId="0" xfId="0" applyFont="1" applyFill="1" applyBorder="1" applyAlignment="1">
      <alignment/>
    </xf>
    <xf numFmtId="0" fontId="5" fillId="0" borderId="0" xfId="0" applyFont="1" applyFill="1" applyBorder="1" applyAlignment="1">
      <alignment/>
    </xf>
    <xf numFmtId="4" fontId="5" fillId="0" borderId="0" xfId="0" applyNumberFormat="1" applyFont="1" applyFill="1" applyBorder="1" applyAlignment="1">
      <alignment/>
    </xf>
    <xf numFmtId="4" fontId="6" fillId="0" borderId="0" xfId="0" applyNumberFormat="1" applyFont="1" applyFill="1" applyBorder="1" applyAlignment="1">
      <alignment/>
    </xf>
    <xf numFmtId="4" fontId="19" fillId="0" borderId="0" xfId="0" applyNumberFormat="1" applyFont="1" applyFill="1" applyBorder="1" applyAlignment="1">
      <alignment/>
    </xf>
    <xf numFmtId="0" fontId="5" fillId="0" borderId="0" xfId="0" applyFont="1" applyFill="1" applyBorder="1" applyAlignment="1">
      <alignment horizontal="right"/>
    </xf>
    <xf numFmtId="0" fontId="19" fillId="0" borderId="0" xfId="0" applyFont="1" applyFill="1" applyBorder="1" applyAlignment="1">
      <alignment horizontal="right"/>
    </xf>
    <xf numFmtId="4" fontId="3" fillId="0" borderId="0" xfId="0" applyNumberFormat="1"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64" fillId="0" borderId="0" xfId="0" applyFont="1" applyBorder="1" applyAlignment="1">
      <alignment/>
    </xf>
    <xf numFmtId="0" fontId="64" fillId="0" borderId="0" xfId="0" applyFont="1" applyBorder="1" applyAlignment="1">
      <alignment horizontal="center" vertical="center"/>
    </xf>
    <xf numFmtId="0" fontId="0" fillId="0" borderId="0" xfId="0" applyBorder="1" applyAlignment="1">
      <alignment horizontal="center" vertical="center" wrapText="1"/>
    </xf>
    <xf numFmtId="0" fontId="64" fillId="0" borderId="0" xfId="0" applyFont="1" applyBorder="1" applyAlignment="1">
      <alignment horizontal="center" vertical="center" wrapText="1"/>
    </xf>
    <xf numFmtId="0" fontId="0" fillId="0" borderId="0" xfId="0" applyBorder="1" applyAlignment="1">
      <alignment wrapText="1"/>
    </xf>
    <xf numFmtId="0" fontId="12" fillId="0" borderId="11" xfId="0" applyFont="1" applyFill="1" applyBorder="1" applyAlignment="1">
      <alignment horizontal="center" vertical="center"/>
    </xf>
    <xf numFmtId="0" fontId="11" fillId="0" borderId="11" xfId="0" applyFont="1" applyFill="1" applyBorder="1" applyAlignment="1">
      <alignment horizontal="center" vertical="center"/>
    </xf>
    <xf numFmtId="4" fontId="11" fillId="33" borderId="11" xfId="0" applyNumberFormat="1" applyFont="1" applyFill="1" applyBorder="1" applyAlignment="1">
      <alignment horizontal="right" vertical="center" wrapText="1"/>
    </xf>
    <xf numFmtId="4" fontId="14" fillId="0" borderId="11" xfId="0" applyNumberFormat="1" applyFont="1" applyFill="1" applyBorder="1" applyAlignment="1">
      <alignment horizontal="right" vertical="center"/>
    </xf>
    <xf numFmtId="4" fontId="11" fillId="0" borderId="11" xfId="0" applyNumberFormat="1" applyFont="1" applyFill="1" applyBorder="1" applyAlignment="1">
      <alignment horizontal="right" vertical="center" wrapText="1"/>
    </xf>
    <xf numFmtId="4" fontId="12" fillId="0" borderId="11" xfId="0" applyNumberFormat="1" applyFont="1" applyFill="1" applyBorder="1" applyAlignment="1">
      <alignment horizontal="right" vertical="center" wrapText="1"/>
    </xf>
    <xf numFmtId="4" fontId="14" fillId="0" borderId="11" xfId="0" applyNumberFormat="1" applyFont="1" applyFill="1" applyBorder="1" applyAlignment="1">
      <alignment horizontal="right" vertical="center" wrapText="1"/>
    </xf>
    <xf numFmtId="0" fontId="64" fillId="0" borderId="0" xfId="0" applyFont="1" applyFill="1" applyBorder="1" applyAlignment="1">
      <alignment horizontal="center" vertical="center" wrapText="1"/>
    </xf>
    <xf numFmtId="0" fontId="6" fillId="0" borderId="0" xfId="0" applyFont="1" applyFill="1" applyBorder="1" applyAlignment="1">
      <alignment horizontal="right"/>
    </xf>
    <xf numFmtId="0" fontId="9" fillId="0" borderId="0" xfId="0" applyFont="1" applyAlignment="1">
      <alignment vertical="center" wrapText="1"/>
    </xf>
    <xf numFmtId="0" fontId="9" fillId="0" borderId="0" xfId="0" applyFont="1" applyAlignment="1">
      <alignment wrapText="1"/>
    </xf>
    <xf numFmtId="0" fontId="2" fillId="0" borderId="0" xfId="0" applyFont="1" applyAlignment="1">
      <alignment vertical="top" wrapText="1"/>
    </xf>
    <xf numFmtId="0" fontId="7" fillId="0" borderId="0" xfId="0" applyFont="1" applyAlignment="1">
      <alignment horizontal="center" vertical="center" wrapText="1"/>
    </xf>
    <xf numFmtId="0" fontId="12" fillId="0" borderId="0" xfId="0" applyFont="1" applyAlignment="1">
      <alignment vertical="top"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vertical="top" wrapText="1"/>
    </xf>
    <xf numFmtId="0" fontId="15" fillId="0" borderId="0" xfId="0" applyFont="1" applyAlignment="1">
      <alignment horizontal="center" vertical="center" wrapText="1"/>
    </xf>
    <xf numFmtId="0" fontId="15" fillId="0" borderId="0" xfId="0" applyFont="1" applyAlignment="1">
      <alignment vertical="top" wrapText="1"/>
    </xf>
    <xf numFmtId="49" fontId="22" fillId="0" borderId="10" xfId="0" applyNumberFormat="1" applyFont="1" applyBorder="1" applyAlignment="1">
      <alignment horizontal="center" vertical="center" wrapText="1"/>
    </xf>
    <xf numFmtId="49" fontId="22" fillId="0" borderId="11"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0" fontId="15" fillId="0" borderId="11" xfId="0" applyFont="1" applyBorder="1" applyAlignment="1">
      <alignment vertical="center" wrapText="1"/>
    </xf>
    <xf numFmtId="0" fontId="22" fillId="0" borderId="11" xfId="0" applyFont="1" applyBorder="1" applyAlignment="1">
      <alignment vertical="top" wrapText="1"/>
    </xf>
    <xf numFmtId="49" fontId="15" fillId="0" borderId="0" xfId="0" applyNumberFormat="1" applyFont="1" applyBorder="1" applyAlignment="1">
      <alignment horizontal="center" vertical="center" wrapText="1"/>
    </xf>
    <xf numFmtId="0" fontId="15" fillId="0" borderId="0" xfId="0" applyFont="1" applyBorder="1" applyAlignment="1">
      <alignment vertical="top" wrapText="1"/>
    </xf>
    <xf numFmtId="0" fontId="15" fillId="0" borderId="0" xfId="0" applyFont="1" applyBorder="1" applyAlignment="1">
      <alignment horizontal="center" vertical="center" wrapText="1"/>
    </xf>
    <xf numFmtId="0" fontId="12" fillId="0" borderId="0" xfId="0" applyFont="1" applyFill="1" applyAlignment="1">
      <alignment vertical="top" wrapText="1"/>
    </xf>
    <xf numFmtId="0" fontId="12" fillId="0" borderId="0" xfId="0" applyFont="1" applyAlignment="1">
      <alignment horizontal="right" vertical="top" wrapText="1"/>
    </xf>
    <xf numFmtId="0" fontId="11" fillId="0" borderId="0" xfId="0" applyFont="1" applyAlignment="1">
      <alignment horizontal="center" vertical="top" wrapText="1"/>
    </xf>
    <xf numFmtId="0" fontId="11" fillId="0" borderId="0" xfId="0" applyFont="1" applyFill="1" applyAlignment="1">
      <alignment horizontal="center" vertical="top" wrapText="1"/>
    </xf>
    <xf numFmtId="0" fontId="12" fillId="0" borderId="0" xfId="0" applyFont="1" applyAlignment="1">
      <alignment horizontal="left" vertical="top" wrapText="1"/>
    </xf>
    <xf numFmtId="0" fontId="12" fillId="0" borderId="11" xfId="0" applyFont="1" applyFill="1" applyBorder="1" applyAlignment="1">
      <alignment horizontal="center" vertical="top" wrapText="1"/>
    </xf>
    <xf numFmtId="0" fontId="12" fillId="0" borderId="11" xfId="0" applyFont="1" applyBorder="1" applyAlignment="1">
      <alignment horizontal="center" vertical="top" wrapText="1"/>
    </xf>
    <xf numFmtId="4" fontId="12" fillId="0" borderId="11" xfId="0" applyNumberFormat="1" applyFont="1" applyFill="1" applyBorder="1" applyAlignment="1">
      <alignment vertical="top" wrapText="1"/>
    </xf>
    <xf numFmtId="4" fontId="12" fillId="0" borderId="11" xfId="0" applyNumberFormat="1" applyFont="1" applyFill="1" applyBorder="1" applyAlignment="1">
      <alignment horizontal="right" vertical="top" wrapText="1"/>
    </xf>
    <xf numFmtId="4" fontId="11" fillId="0" borderId="11" xfId="0" applyNumberFormat="1" applyFont="1" applyBorder="1" applyAlignment="1">
      <alignment horizontal="right" vertical="top" wrapText="1"/>
    </xf>
    <xf numFmtId="4" fontId="11" fillId="0" borderId="11" xfId="0" applyNumberFormat="1" applyFont="1" applyBorder="1" applyAlignment="1">
      <alignment vertical="top" wrapText="1"/>
    </xf>
    <xf numFmtId="0" fontId="12" fillId="0" borderId="12" xfId="0" applyFont="1" applyFill="1" applyBorder="1" applyAlignment="1">
      <alignment horizontal="center" vertical="center"/>
    </xf>
    <xf numFmtId="4" fontId="12" fillId="0" borderId="11" xfId="0" applyNumberFormat="1" applyFont="1" applyFill="1" applyBorder="1" applyAlignment="1">
      <alignment horizontal="center" vertical="center"/>
    </xf>
    <xf numFmtId="16" fontId="12" fillId="0" borderId="11"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0" fontId="11" fillId="0" borderId="0" xfId="0" applyFont="1" applyFill="1" applyAlignment="1">
      <alignment horizontal="center"/>
    </xf>
    <xf numFmtId="0" fontId="12" fillId="0" borderId="0" xfId="0" applyFont="1" applyFill="1" applyAlignment="1">
      <alignment/>
    </xf>
    <xf numFmtId="0" fontId="12" fillId="0" borderId="0" xfId="0" applyFont="1" applyFill="1" applyAlignment="1">
      <alignment horizontal="center"/>
    </xf>
    <xf numFmtId="0" fontId="12" fillId="0" borderId="0" xfId="0" applyFont="1" applyFill="1" applyAlignment="1">
      <alignment horizontal="left"/>
    </xf>
    <xf numFmtId="0" fontId="11" fillId="0" borderId="0" xfId="0" applyFont="1" applyAlignment="1">
      <alignment vertical="top" wrapText="1"/>
    </xf>
    <xf numFmtId="4" fontId="11" fillId="0" borderId="11" xfId="0" applyNumberFormat="1" applyFont="1" applyFill="1" applyBorder="1" applyAlignment="1">
      <alignment/>
    </xf>
    <xf numFmtId="0" fontId="12" fillId="0" borderId="0" xfId="0" applyFont="1" applyAlignment="1">
      <alignment/>
    </xf>
    <xf numFmtId="2" fontId="12" fillId="0" borderId="11" xfId="0" applyNumberFormat="1" applyFont="1" applyFill="1" applyBorder="1" applyAlignment="1">
      <alignment horizontal="right" vertical="center" wrapText="1"/>
    </xf>
    <xf numFmtId="2" fontId="12" fillId="0" borderId="11"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vertical="top" wrapText="1"/>
    </xf>
    <xf numFmtId="0" fontId="10" fillId="0" borderId="11" xfId="0" applyFont="1" applyFill="1" applyBorder="1" applyAlignment="1">
      <alignment horizontal="center" vertical="center"/>
    </xf>
    <xf numFmtId="0" fontId="12" fillId="0" borderId="0" xfId="0"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4" fontId="11" fillId="0" borderId="0" xfId="0" applyNumberFormat="1" applyFont="1" applyFill="1" applyBorder="1" applyAlignment="1">
      <alignment horizontal="right" vertical="center" wrapText="1"/>
    </xf>
    <xf numFmtId="4" fontId="10" fillId="0" borderId="11" xfId="0" applyNumberFormat="1" applyFont="1" applyFill="1" applyBorder="1" applyAlignment="1">
      <alignment horizontal="right" vertical="center"/>
    </xf>
    <xf numFmtId="4" fontId="11" fillId="0" borderId="11"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4" fontId="11" fillId="0" borderId="0" xfId="0" applyNumberFormat="1" applyFont="1" applyFill="1" applyBorder="1" applyAlignment="1">
      <alignment horizontal="right" vertical="center"/>
    </xf>
    <xf numFmtId="4" fontId="10" fillId="0" borderId="11" xfId="0" applyNumberFormat="1" applyFont="1" applyFill="1" applyBorder="1" applyAlignment="1">
      <alignment horizontal="center" vertical="center"/>
    </xf>
    <xf numFmtId="0" fontId="11" fillId="0" borderId="0" xfId="0" applyFont="1" applyFill="1" applyBorder="1" applyAlignment="1">
      <alignment horizontal="left" vertical="top" wrapText="1"/>
    </xf>
    <xf numFmtId="4" fontId="11" fillId="0" borderId="0" xfId="0" applyNumberFormat="1" applyFont="1" applyBorder="1" applyAlignment="1">
      <alignment vertical="top" wrapText="1"/>
    </xf>
    <xf numFmtId="4" fontId="12" fillId="0" borderId="11" xfId="0" applyNumberFormat="1" applyFont="1" applyFill="1" applyBorder="1" applyAlignment="1">
      <alignment horizontal="center" vertical="center" wrapText="1"/>
    </xf>
    <xf numFmtId="0" fontId="12" fillId="0" borderId="0" xfId="0" applyFont="1" applyFill="1" applyBorder="1" applyAlignment="1">
      <alignment vertical="top" wrapText="1"/>
    </xf>
    <xf numFmtId="4" fontId="11" fillId="0" borderId="0" xfId="0" applyNumberFormat="1" applyFont="1" applyFill="1" applyBorder="1" applyAlignment="1">
      <alignment horizontal="center" vertical="center"/>
    </xf>
    <xf numFmtId="4" fontId="16" fillId="0" borderId="0" xfId="0" applyNumberFormat="1" applyFont="1" applyFill="1" applyBorder="1" applyAlignment="1">
      <alignment horizontal="right" vertical="center" wrapText="1"/>
    </xf>
    <xf numFmtId="0" fontId="12" fillId="0" borderId="0" xfId="0" applyFont="1" applyFill="1" applyBorder="1" applyAlignment="1">
      <alignment/>
    </xf>
    <xf numFmtId="0" fontId="7" fillId="0" borderId="0" xfId="0" applyFont="1" applyFill="1" applyBorder="1" applyAlignment="1">
      <alignment vertical="top" wrapText="1"/>
    </xf>
    <xf numFmtId="49" fontId="10" fillId="0" borderId="11"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wrapText="1"/>
    </xf>
    <xf numFmtId="0" fontId="12" fillId="0" borderId="11" xfId="0" applyFont="1" applyBorder="1" applyAlignment="1">
      <alignment horizontal="left" vertical="top" wrapText="1"/>
    </xf>
    <xf numFmtId="0" fontId="14" fillId="0" borderId="0" xfId="0" applyFont="1" applyFill="1" applyAlignment="1">
      <alignment horizontal="left" vertical="top" wrapText="1"/>
    </xf>
    <xf numFmtId="0" fontId="11" fillId="0" borderId="0" xfId="0" applyFont="1" applyBorder="1" applyAlignment="1">
      <alignment horizontal="center" vertical="top" wrapText="1"/>
    </xf>
    <xf numFmtId="0" fontId="12" fillId="0" borderId="0" xfId="0" applyFont="1" applyBorder="1" applyAlignment="1">
      <alignment horizontal="right" vertical="top" wrapText="1"/>
    </xf>
    <xf numFmtId="0" fontId="0" fillId="0" borderId="0" xfId="0" applyAlignment="1">
      <alignment horizontal="left" vertical="center" wrapText="1"/>
    </xf>
    <xf numFmtId="0" fontId="0" fillId="0" borderId="0" xfId="0" applyBorder="1" applyAlignment="1">
      <alignment horizontal="left" vertical="center" wrapText="1"/>
    </xf>
    <xf numFmtId="0" fontId="74" fillId="0" borderId="0" xfId="0" applyFont="1" applyBorder="1" applyAlignment="1">
      <alignment horizontal="left" vertical="center" wrapText="1"/>
    </xf>
    <xf numFmtId="49" fontId="74" fillId="0" borderId="0" xfId="0" applyNumberFormat="1" applyFont="1" applyBorder="1" applyAlignment="1">
      <alignment horizontal="center" vertical="center" wrapText="1"/>
    </xf>
    <xf numFmtId="0" fontId="74"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4" fillId="0" borderId="0" xfId="0" applyFont="1" applyFill="1" applyBorder="1" applyAlignment="1">
      <alignment horizontal="center" vertical="center" wrapText="1"/>
    </xf>
    <xf numFmtId="0" fontId="11" fillId="0" borderId="0" xfId="0" applyFont="1" applyFill="1" applyBorder="1" applyAlignment="1">
      <alignment horizontal="center"/>
    </xf>
    <xf numFmtId="0" fontId="11" fillId="0" borderId="0" xfId="0" applyFont="1" applyAlignment="1">
      <alignment vertical="top" wrapText="1"/>
    </xf>
    <xf numFmtId="0" fontId="14" fillId="0" borderId="11" xfId="0" applyFont="1" applyFill="1" applyBorder="1" applyAlignment="1">
      <alignment horizontal="left" vertical="top" wrapText="1"/>
    </xf>
    <xf numFmtId="0" fontId="11" fillId="0" borderId="0" xfId="0" applyFont="1" applyFill="1" applyAlignment="1">
      <alignment vertical="top" wrapText="1"/>
    </xf>
    <xf numFmtId="0" fontId="12" fillId="0" borderId="0" xfId="0" applyFont="1" applyAlignment="1">
      <alignment vertical="top" wrapText="1"/>
    </xf>
    <xf numFmtId="49" fontId="15" fillId="36" borderId="11" xfId="0" applyNumberFormat="1" applyFont="1" applyFill="1" applyBorder="1" applyAlignment="1">
      <alignment horizontal="center" vertical="center" wrapText="1"/>
    </xf>
    <xf numFmtId="0" fontId="15" fillId="36" borderId="11" xfId="0" applyFont="1" applyFill="1" applyBorder="1" applyAlignment="1">
      <alignment vertical="top" wrapText="1"/>
    </xf>
    <xf numFmtId="0" fontId="15" fillId="36" borderId="11" xfId="0" applyFont="1" applyFill="1" applyBorder="1" applyAlignment="1">
      <alignment horizontal="center" vertical="center" wrapText="1"/>
    </xf>
    <xf numFmtId="0" fontId="22" fillId="0" borderId="11" xfId="0" applyFont="1" applyBorder="1" applyAlignment="1">
      <alignment vertical="center" wrapText="1"/>
    </xf>
    <xf numFmtId="2" fontId="14" fillId="0" borderId="10" xfId="0" applyNumberFormat="1" applyFont="1" applyFill="1" applyBorder="1" applyAlignment="1">
      <alignment horizontal="right" vertical="center" wrapText="1"/>
    </xf>
    <xf numFmtId="0" fontId="12" fillId="0" borderId="11" xfId="0" applyNumberFormat="1" applyFont="1" applyFill="1" applyBorder="1" applyAlignment="1">
      <alignment horizontal="center" vertical="center" wrapText="1"/>
    </xf>
    <xf numFmtId="0" fontId="12" fillId="0" borderId="11" xfId="0" applyFont="1" applyFill="1" applyBorder="1" applyAlignment="1">
      <alignment vertical="center" wrapText="1"/>
    </xf>
    <xf numFmtId="2" fontId="10" fillId="0" borderId="11" xfId="0" applyNumberFormat="1" applyFont="1" applyFill="1" applyBorder="1" applyAlignment="1">
      <alignment horizontal="center" vertical="center"/>
    </xf>
    <xf numFmtId="4" fontId="11" fillId="35" borderId="10" xfId="0" applyNumberFormat="1" applyFont="1" applyFill="1" applyBorder="1" applyAlignment="1">
      <alignment horizontal="center" vertical="center" wrapText="1"/>
    </xf>
    <xf numFmtId="4" fontId="11" fillId="34" borderId="10" xfId="0" applyNumberFormat="1" applyFont="1" applyFill="1" applyBorder="1" applyAlignment="1">
      <alignment horizontal="center" vertical="center" wrapText="1"/>
    </xf>
    <xf numFmtId="2" fontId="16" fillId="0" borderId="11" xfId="0" applyNumberFormat="1" applyFont="1" applyFill="1" applyBorder="1" applyAlignment="1">
      <alignment horizontal="right" vertical="center" wrapText="1"/>
    </xf>
    <xf numFmtId="0" fontId="76" fillId="0" borderId="0" xfId="0" applyFont="1" applyBorder="1" applyAlignment="1">
      <alignment/>
    </xf>
    <xf numFmtId="0" fontId="77" fillId="0" borderId="0" xfId="0" applyFont="1" applyBorder="1" applyAlignment="1">
      <alignment/>
    </xf>
    <xf numFmtId="0" fontId="76" fillId="0" borderId="0" xfId="0" applyFont="1" applyBorder="1" applyAlignment="1">
      <alignment horizontal="center"/>
    </xf>
    <xf numFmtId="0" fontId="78" fillId="0" borderId="0" xfId="0" applyFont="1" applyBorder="1" applyAlignment="1">
      <alignment/>
    </xf>
    <xf numFmtId="0" fontId="76" fillId="0" borderId="0" xfId="0" applyFont="1" applyBorder="1" applyAlignment="1">
      <alignment horizontal="center" wrapText="1"/>
    </xf>
    <xf numFmtId="0" fontId="76" fillId="0" borderId="0" xfId="0" applyFont="1" applyBorder="1" applyAlignment="1">
      <alignment/>
    </xf>
    <xf numFmtId="181" fontId="10" fillId="0" borderId="11" xfId="60" applyFont="1" applyFill="1" applyBorder="1" applyAlignment="1">
      <alignment horizontal="right" vertical="center" wrapText="1"/>
    </xf>
    <xf numFmtId="181" fontId="22" fillId="0" borderId="11" xfId="60" applyFont="1" applyBorder="1" applyAlignment="1">
      <alignment horizontal="center" vertical="center" wrapText="1"/>
    </xf>
    <xf numFmtId="181" fontId="15" fillId="36" borderId="11" xfId="60" applyFont="1" applyFill="1" applyBorder="1" applyAlignment="1">
      <alignment horizontal="center" vertical="center" wrapText="1"/>
    </xf>
    <xf numFmtId="181" fontId="15" fillId="0" borderId="11" xfId="60" applyFont="1" applyBorder="1" applyAlignment="1">
      <alignment horizontal="center" vertical="center" wrapText="1"/>
    </xf>
    <xf numFmtId="0" fontId="12" fillId="0" borderId="0" xfId="0" applyFont="1" applyAlignment="1">
      <alignment horizontal="center" vertical="center" wrapText="1"/>
    </xf>
    <xf numFmtId="49" fontId="12" fillId="0" borderId="0" xfId="0" applyNumberFormat="1" applyFont="1" applyAlignment="1">
      <alignment vertical="center" wrapText="1"/>
    </xf>
    <xf numFmtId="0" fontId="26" fillId="0" borderId="0" xfId="0" applyFont="1" applyAlignment="1">
      <alignment vertical="top" wrapText="1"/>
    </xf>
    <xf numFmtId="0" fontId="12" fillId="0" borderId="0" xfId="0" applyFont="1" applyAlignment="1">
      <alignment horizontal="center" wrapText="1"/>
    </xf>
    <xf numFmtId="49" fontId="13" fillId="0" borderId="0" xfId="0" applyNumberFormat="1" applyFont="1" applyAlignment="1">
      <alignment horizontal="center" wrapText="1"/>
    </xf>
    <xf numFmtId="4" fontId="12" fillId="0" borderId="0" xfId="0" applyNumberFormat="1" applyFont="1" applyFill="1" applyAlignment="1">
      <alignment/>
    </xf>
    <xf numFmtId="181" fontId="12" fillId="0" borderId="11" xfId="60" applyFont="1" applyFill="1" applyBorder="1" applyAlignment="1">
      <alignment horizontal="center" vertical="center" wrapText="1"/>
    </xf>
    <xf numFmtId="181" fontId="12" fillId="0" borderId="11" xfId="60" applyFont="1" applyFill="1" applyBorder="1" applyAlignment="1">
      <alignment horizontal="right" vertical="center" wrapText="1"/>
    </xf>
    <xf numFmtId="181" fontId="10" fillId="0" borderId="11" xfId="60" applyFont="1" applyFill="1" applyBorder="1" applyAlignment="1">
      <alignment horizontal="center" vertical="center"/>
    </xf>
    <xf numFmtId="2" fontId="12" fillId="0" borderId="11" xfId="60" applyNumberFormat="1" applyFont="1" applyFill="1" applyBorder="1" applyAlignment="1">
      <alignment horizontal="right" vertical="center" wrapText="1"/>
    </xf>
    <xf numFmtId="4" fontId="12" fillId="0" borderId="0" xfId="0" applyNumberFormat="1" applyFont="1" applyAlignment="1">
      <alignment vertical="top" wrapText="1"/>
    </xf>
    <xf numFmtId="181" fontId="12" fillId="0" borderId="11" xfId="60" applyFont="1" applyFill="1" applyBorder="1" applyAlignment="1">
      <alignment horizontal="center"/>
    </xf>
    <xf numFmtId="43" fontId="12" fillId="0" borderId="0" xfId="0" applyNumberFormat="1" applyFont="1" applyFill="1" applyAlignment="1">
      <alignment/>
    </xf>
    <xf numFmtId="4" fontId="7" fillId="0" borderId="0" xfId="0" applyNumberFormat="1" applyFont="1" applyAlignment="1">
      <alignment vertical="top" wrapText="1"/>
    </xf>
    <xf numFmtId="0" fontId="27" fillId="0" borderId="11" xfId="0" applyFont="1" applyFill="1" applyBorder="1" applyAlignment="1">
      <alignment horizontal="left" vertical="center" wrapText="1"/>
    </xf>
    <xf numFmtId="0" fontId="2" fillId="0" borderId="0" xfId="0" applyFont="1" applyFill="1" applyAlignment="1">
      <alignment vertical="top" wrapText="1"/>
    </xf>
    <xf numFmtId="181" fontId="12" fillId="0" borderId="0" xfId="60" applyFont="1" applyAlignment="1">
      <alignment horizontal="left" vertical="top" wrapText="1"/>
    </xf>
    <xf numFmtId="43" fontId="12" fillId="0" borderId="11" xfId="0" applyNumberFormat="1" applyFont="1" applyBorder="1" applyAlignment="1">
      <alignment horizontal="center" vertical="top" wrapText="1"/>
    </xf>
    <xf numFmtId="43" fontId="12" fillId="0" borderId="11" xfId="0" applyNumberFormat="1" applyFont="1" applyBorder="1" applyAlignment="1">
      <alignment vertical="top" wrapText="1"/>
    </xf>
    <xf numFmtId="181" fontId="16" fillId="0" borderId="11" xfId="60" applyFont="1" applyFill="1" applyBorder="1" applyAlignment="1">
      <alignment horizontal="right" vertical="center" wrapText="1"/>
    </xf>
    <xf numFmtId="181" fontId="11" fillId="0" borderId="11" xfId="60" applyFont="1" applyFill="1" applyBorder="1" applyAlignment="1">
      <alignment horizontal="right" vertical="center" wrapText="1"/>
    </xf>
    <xf numFmtId="0" fontId="74" fillId="0" borderId="16" xfId="0" applyFont="1" applyFill="1" applyBorder="1" applyAlignment="1">
      <alignment/>
    </xf>
    <xf numFmtId="4" fontId="11" fillId="34" borderId="0" xfId="0" applyNumberFormat="1" applyFont="1" applyFill="1" applyBorder="1" applyAlignment="1">
      <alignment horizontal="center" vertical="center" wrapText="1"/>
    </xf>
    <xf numFmtId="181" fontId="12" fillId="34" borderId="11" xfId="60" applyFont="1" applyFill="1" applyBorder="1" applyAlignment="1">
      <alignment horizontal="center" vertical="center" wrapText="1"/>
    </xf>
    <xf numFmtId="0" fontId="12" fillId="34" borderId="11" xfId="0" applyFont="1" applyFill="1" applyBorder="1" applyAlignment="1">
      <alignment horizontal="center" vertical="center" wrapText="1"/>
    </xf>
    <xf numFmtId="4" fontId="12" fillId="34" borderId="11" xfId="0" applyNumberFormat="1" applyFont="1" applyFill="1" applyBorder="1" applyAlignment="1">
      <alignment vertical="top" wrapText="1"/>
    </xf>
    <xf numFmtId="4" fontId="12" fillId="34" borderId="11" xfId="0" applyNumberFormat="1" applyFont="1" applyFill="1" applyBorder="1" applyAlignment="1">
      <alignment horizontal="right" vertical="top" wrapText="1"/>
    </xf>
    <xf numFmtId="4" fontId="11" fillId="34" borderId="11" xfId="0" applyNumberFormat="1" applyFont="1" applyFill="1" applyBorder="1" applyAlignment="1">
      <alignment horizontal="right" vertical="top" wrapText="1"/>
    </xf>
    <xf numFmtId="14" fontId="74" fillId="0" borderId="16" xfId="0" applyNumberFormat="1" applyFont="1" applyFill="1" applyBorder="1" applyAlignment="1">
      <alignment/>
    </xf>
    <xf numFmtId="14" fontId="74" fillId="0" borderId="0" xfId="0" applyNumberFormat="1" applyFont="1" applyFill="1" applyBorder="1" applyAlignment="1">
      <alignment horizontal="center" vertical="center" wrapText="1"/>
    </xf>
    <xf numFmtId="14" fontId="74" fillId="0" borderId="0" xfId="0" applyNumberFormat="1" applyFont="1" applyFill="1" applyAlignment="1">
      <alignment wrapText="1"/>
    </xf>
    <xf numFmtId="0" fontId="7" fillId="0" borderId="0" xfId="0" applyNumberFormat="1" applyFont="1" applyAlignment="1">
      <alignment vertical="top" wrapText="1"/>
    </xf>
    <xf numFmtId="14" fontId="12" fillId="0" borderId="0" xfId="0" applyNumberFormat="1" applyFont="1" applyAlignment="1">
      <alignment horizontal="center" vertical="center" wrapText="1"/>
    </xf>
    <xf numFmtId="14" fontId="12" fillId="0" borderId="0" xfId="0" applyNumberFormat="1" applyFont="1" applyAlignment="1">
      <alignment horizontal="right" vertical="top" wrapText="1"/>
    </xf>
    <xf numFmtId="14" fontId="12" fillId="0" borderId="0" xfId="0" applyNumberFormat="1" applyFont="1" applyAlignment="1">
      <alignment vertical="top" wrapText="1"/>
    </xf>
    <xf numFmtId="49" fontId="10" fillId="34" borderId="11" xfId="0" applyNumberFormat="1" applyFont="1" applyFill="1" applyBorder="1" applyAlignment="1">
      <alignment horizontal="center" vertical="center"/>
    </xf>
    <xf numFmtId="43" fontId="12" fillId="34" borderId="11" xfId="0" applyNumberFormat="1" applyFont="1" applyFill="1" applyBorder="1" applyAlignment="1">
      <alignment horizontal="center" vertical="center" wrapText="1"/>
    </xf>
    <xf numFmtId="4" fontId="12" fillId="34" borderId="11" xfId="0" applyNumberFormat="1" applyFont="1" applyFill="1" applyBorder="1" applyAlignment="1">
      <alignment horizontal="right" vertical="center" wrapText="1"/>
    </xf>
    <xf numFmtId="14" fontId="12" fillId="0" borderId="0" xfId="0" applyNumberFormat="1" applyFont="1" applyFill="1" applyAlignment="1">
      <alignment vertical="top" wrapText="1"/>
    </xf>
    <xf numFmtId="49" fontId="76" fillId="0" borderId="0" xfId="0" applyNumberFormat="1" applyFont="1" applyBorder="1" applyAlignment="1">
      <alignment/>
    </xf>
    <xf numFmtId="49" fontId="76" fillId="0" borderId="11" xfId="0" applyNumberFormat="1" applyFont="1" applyBorder="1" applyAlignment="1">
      <alignment horizontal="center" vertical="center"/>
    </xf>
    <xf numFmtId="0" fontId="77" fillId="0" borderId="0" xfId="0" applyFont="1" applyFill="1" applyAlignment="1">
      <alignment/>
    </xf>
    <xf numFmtId="0" fontId="28" fillId="0" borderId="0" xfId="0" applyFont="1" applyFill="1" applyAlignment="1">
      <alignment horizontal="center" vertical="center"/>
    </xf>
    <xf numFmtId="0" fontId="77" fillId="0" borderId="0" xfId="0" applyFont="1" applyFill="1" applyBorder="1" applyAlignment="1">
      <alignment/>
    </xf>
    <xf numFmtId="3" fontId="28" fillId="0" borderId="11" xfId="0" applyNumberFormat="1" applyFont="1" applyFill="1" applyBorder="1" applyAlignment="1">
      <alignment horizontal="center" vertical="center" wrapText="1"/>
    </xf>
    <xf numFmtId="4" fontId="28" fillId="0" borderId="11" xfId="0" applyNumberFormat="1" applyFont="1" applyFill="1" applyBorder="1" applyAlignment="1">
      <alignment horizontal="center" vertical="center" wrapText="1"/>
    </xf>
    <xf numFmtId="0" fontId="79" fillId="0" borderId="11" xfId="0" applyFont="1" applyFill="1" applyBorder="1" applyAlignment="1">
      <alignment horizontal="left" vertical="center" wrapText="1"/>
    </xf>
    <xf numFmtId="3" fontId="29" fillId="0" borderId="11" xfId="0" applyNumberFormat="1" applyFont="1" applyFill="1" applyBorder="1" applyAlignment="1">
      <alignment horizontal="center" vertical="center" wrapText="1"/>
    </xf>
    <xf numFmtId="4" fontId="29" fillId="0" borderId="11" xfId="0" applyNumberFormat="1" applyFont="1" applyFill="1" applyBorder="1" applyAlignment="1">
      <alignment horizontal="center" vertical="center" wrapText="1"/>
    </xf>
    <xf numFmtId="4" fontId="29" fillId="34" borderId="11" xfId="0" applyNumberFormat="1" applyFont="1" applyFill="1" applyBorder="1" applyAlignment="1">
      <alignment horizontal="center" vertical="center" wrapText="1"/>
    </xf>
    <xf numFmtId="3" fontId="28" fillId="34" borderId="11" xfId="0" applyNumberFormat="1" applyFont="1" applyFill="1" applyBorder="1" applyAlignment="1">
      <alignment horizontal="center" vertical="center" wrapText="1"/>
    </xf>
    <xf numFmtId="0" fontId="76" fillId="0" borderId="0" xfId="0" applyFont="1" applyFill="1" applyBorder="1" applyAlignment="1">
      <alignment/>
    </xf>
    <xf numFmtId="0" fontId="7" fillId="0" borderId="0" xfId="0" applyFont="1" applyFill="1" applyBorder="1" applyAlignment="1">
      <alignment horizontal="justify" vertical="center"/>
    </xf>
    <xf numFmtId="0" fontId="7" fillId="0" borderId="0" xfId="0" applyFont="1"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0" fontId="76" fillId="0" borderId="0" xfId="0" applyFont="1" applyFill="1" applyBorder="1" applyAlignment="1">
      <alignment/>
    </xf>
    <xf numFmtId="0" fontId="7" fillId="0" borderId="0" xfId="0" applyFont="1" applyFill="1" applyAlignment="1">
      <alignment vertical="top"/>
    </xf>
    <xf numFmtId="0" fontId="76" fillId="0" borderId="0" xfId="0" applyFont="1" applyFill="1" applyAlignment="1">
      <alignment/>
    </xf>
    <xf numFmtId="0" fontId="26" fillId="0" borderId="11" xfId="0" applyFont="1" applyFill="1" applyBorder="1" applyAlignment="1">
      <alignment horizontal="center" vertical="center" textRotation="90" wrapText="1"/>
    </xf>
    <xf numFmtId="0" fontId="30" fillId="0" borderId="11" xfId="0" applyFont="1" applyFill="1" applyBorder="1" applyAlignment="1">
      <alignment horizontal="center" vertical="center" textRotation="90" wrapText="1"/>
    </xf>
    <xf numFmtId="0" fontId="26" fillId="0" borderId="13" xfId="0" applyFont="1" applyBorder="1" applyAlignment="1">
      <alignment horizontal="left" vertical="center" wrapText="1"/>
    </xf>
    <xf numFmtId="0" fontId="28" fillId="0" borderId="0" xfId="0" applyFont="1" applyFill="1" applyBorder="1" applyAlignment="1">
      <alignment/>
    </xf>
    <xf numFmtId="14" fontId="7" fillId="0" borderId="0" xfId="0" applyNumberFormat="1" applyFont="1" applyFill="1" applyBorder="1" applyAlignment="1">
      <alignment horizontal="center"/>
    </xf>
    <xf numFmtId="0" fontId="76" fillId="0" borderId="11" xfId="0" applyFont="1" applyBorder="1" applyAlignment="1">
      <alignment horizontal="center" vertical="center"/>
    </xf>
    <xf numFmtId="0" fontId="76" fillId="0" borderId="11" xfId="0" applyFont="1" applyBorder="1" applyAlignment="1">
      <alignment horizontal="center"/>
    </xf>
    <xf numFmtId="0" fontId="76" fillId="0" borderId="16" xfId="0" applyFont="1" applyBorder="1" applyAlignment="1">
      <alignment horizontal="center"/>
    </xf>
    <xf numFmtId="0" fontId="78" fillId="0" borderId="0" xfId="0" applyFont="1" applyBorder="1" applyAlignment="1">
      <alignment horizontal="center"/>
    </xf>
    <xf numFmtId="0" fontId="14" fillId="34" borderId="11" xfId="0" applyFont="1" applyFill="1" applyBorder="1" applyAlignment="1">
      <alignment horizontal="left" vertical="center" wrapText="1"/>
    </xf>
    <xf numFmtId="181" fontId="7" fillId="0" borderId="0" xfId="60" applyFont="1" applyAlignment="1">
      <alignment vertical="top" wrapText="1"/>
    </xf>
    <xf numFmtId="43" fontId="7" fillId="0" borderId="0" xfId="0" applyNumberFormat="1" applyFont="1" applyAlignment="1">
      <alignment vertical="top" wrapText="1"/>
    </xf>
    <xf numFmtId="4" fontId="12" fillId="34" borderId="10" xfId="0" applyNumberFormat="1" applyFont="1" applyFill="1" applyBorder="1" applyAlignment="1">
      <alignment horizontal="center" vertical="center" wrapText="1"/>
    </xf>
    <xf numFmtId="197" fontId="10" fillId="0" borderId="11" xfId="60" applyNumberFormat="1" applyFont="1" applyFill="1" applyBorder="1" applyAlignment="1">
      <alignment horizontal="right" vertical="center" wrapText="1"/>
    </xf>
    <xf numFmtId="0" fontId="11" fillId="0" borderId="0" xfId="0" applyFont="1" applyFill="1" applyBorder="1" applyAlignment="1">
      <alignment horizontal="center" vertical="top" wrapText="1"/>
    </xf>
    <xf numFmtId="0" fontId="12" fillId="0" borderId="0" xfId="0" applyFont="1" applyBorder="1" applyAlignment="1">
      <alignment vertical="top" wrapText="1"/>
    </xf>
    <xf numFmtId="0" fontId="12" fillId="0" borderId="0" xfId="0" applyFont="1" applyBorder="1" applyAlignment="1">
      <alignment horizontal="center" vertical="top" wrapText="1"/>
    </xf>
    <xf numFmtId="4" fontId="11" fillId="0" borderId="0" xfId="0" applyNumberFormat="1" applyFont="1" applyFill="1" applyBorder="1" applyAlignment="1">
      <alignment vertical="top" wrapText="1"/>
    </xf>
    <xf numFmtId="4" fontId="12" fillId="0" borderId="11" xfId="0" applyNumberFormat="1" applyFont="1" applyFill="1" applyBorder="1" applyAlignment="1">
      <alignment horizontal="right" wrapText="1"/>
    </xf>
    <xf numFmtId="4" fontId="11" fillId="0" borderId="11" xfId="0" applyNumberFormat="1" applyFont="1" applyFill="1" applyBorder="1" applyAlignment="1">
      <alignment vertical="top" wrapText="1"/>
    </xf>
    <xf numFmtId="0" fontId="12" fillId="0" borderId="11" xfId="0" applyFont="1" applyFill="1" applyBorder="1" applyAlignment="1">
      <alignment horizontal="center" wrapText="1"/>
    </xf>
    <xf numFmtId="0" fontId="7" fillId="0" borderId="11" xfId="0" applyFont="1" applyBorder="1" applyAlignment="1">
      <alignment horizontal="left" vertical="top" wrapText="1"/>
    </xf>
    <xf numFmtId="0" fontId="27" fillId="0" borderId="11" xfId="0" applyFont="1" applyFill="1" applyBorder="1" applyAlignment="1">
      <alignment horizontal="left" vertical="center" wrapText="1"/>
    </xf>
    <xf numFmtId="4" fontId="11" fillId="0" borderId="11" xfId="0" applyNumberFormat="1" applyFont="1" applyFill="1" applyBorder="1" applyAlignment="1">
      <alignment vertical="center"/>
    </xf>
    <xf numFmtId="181" fontId="12" fillId="34" borderId="11" xfId="60" applyFont="1" applyFill="1" applyBorder="1" applyAlignment="1">
      <alignment horizontal="right" vertical="center" wrapText="1"/>
    </xf>
    <xf numFmtId="49" fontId="12" fillId="0" borderId="0" xfId="0" applyNumberFormat="1" applyFont="1" applyAlignment="1">
      <alignment vertical="top" wrapText="1"/>
    </xf>
    <xf numFmtId="49" fontId="12" fillId="0" borderId="0" xfId="0" applyNumberFormat="1" applyFont="1" applyFill="1" applyAlignment="1">
      <alignment/>
    </xf>
    <xf numFmtId="49" fontId="7" fillId="0" borderId="0" xfId="0" applyNumberFormat="1" applyFont="1" applyFill="1" applyAlignment="1">
      <alignment vertical="top" wrapText="1"/>
    </xf>
    <xf numFmtId="43" fontId="7" fillId="0" borderId="0" xfId="0" applyNumberFormat="1" applyFont="1" applyFill="1" applyAlignment="1">
      <alignment vertical="top" wrapText="1"/>
    </xf>
    <xf numFmtId="43" fontId="12" fillId="0" borderId="0" xfId="0" applyNumberFormat="1" applyFont="1" applyAlignment="1">
      <alignment horizontal="left" vertical="top" wrapText="1"/>
    </xf>
    <xf numFmtId="0" fontId="12" fillId="34" borderId="11" xfId="0" applyFont="1" applyFill="1" applyBorder="1" applyAlignment="1">
      <alignment horizontal="center" vertical="top" wrapText="1"/>
    </xf>
    <xf numFmtId="2" fontId="10" fillId="34" borderId="11" xfId="0" applyNumberFormat="1" applyFont="1" applyFill="1" applyBorder="1" applyAlignment="1">
      <alignment horizontal="center" vertical="center"/>
    </xf>
    <xf numFmtId="2" fontId="12" fillId="34" borderId="11" xfId="60" applyNumberFormat="1" applyFont="1" applyFill="1" applyBorder="1" applyAlignment="1">
      <alignment horizontal="right" vertical="center" wrapText="1"/>
    </xf>
    <xf numFmtId="4" fontId="12" fillId="0" borderId="11" xfId="0" applyNumberFormat="1" applyFont="1" applyFill="1" applyBorder="1" applyAlignment="1">
      <alignment horizontal="right" vertical="center"/>
    </xf>
    <xf numFmtId="49" fontId="12" fillId="0" borderId="0" xfId="0" applyNumberFormat="1" applyFont="1" applyAlignment="1">
      <alignment horizontal="right" vertical="top" wrapText="1"/>
    </xf>
    <xf numFmtId="0" fontId="77" fillId="0" borderId="0" xfId="0" applyFont="1" applyAlignment="1">
      <alignment/>
    </xf>
    <xf numFmtId="0" fontId="27" fillId="0" borderId="11" xfId="0" applyFont="1" applyFill="1" applyBorder="1" applyAlignment="1">
      <alignment horizontal="right" vertical="center" wrapText="1"/>
    </xf>
    <xf numFmtId="0" fontId="12" fillId="0" borderId="0" xfId="0" applyFont="1" applyFill="1" applyAlignment="1">
      <alignment vertical="top"/>
    </xf>
    <xf numFmtId="0" fontId="14"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4" fillId="0" borderId="0" xfId="0" applyFont="1" applyAlignment="1">
      <alignment vertical="top" wrapText="1"/>
    </xf>
    <xf numFmtId="0" fontId="28" fillId="0" borderId="0" xfId="0" applyFont="1" applyAlignment="1">
      <alignment vertical="top" wrapText="1"/>
    </xf>
    <xf numFmtId="0" fontId="12" fillId="0" borderId="11" xfId="0" applyFont="1" applyBorder="1" applyAlignment="1">
      <alignment horizontal="center" vertical="center" wrapText="1"/>
    </xf>
    <xf numFmtId="0" fontId="10" fillId="0" borderId="11" xfId="0" applyFont="1" applyBorder="1" applyAlignment="1">
      <alignment horizontal="center" vertical="center"/>
    </xf>
    <xf numFmtId="4" fontId="10" fillId="0" borderId="11" xfId="0" applyNumberFormat="1" applyFont="1" applyBorder="1" applyAlignment="1">
      <alignment horizontal="center" vertical="center"/>
    </xf>
    <xf numFmtId="4" fontId="12" fillId="0" borderId="11" xfId="0" applyNumberFormat="1" applyFont="1" applyBorder="1" applyAlignment="1">
      <alignment horizontal="right" vertical="center" wrapText="1"/>
    </xf>
    <xf numFmtId="0" fontId="12" fillId="0" borderId="11" xfId="0" applyFont="1" applyBorder="1" applyAlignment="1">
      <alignment horizontal="center" wrapText="1"/>
    </xf>
    <xf numFmtId="4" fontId="12" fillId="0" borderId="11" xfId="0" applyNumberFormat="1" applyFont="1" applyBorder="1" applyAlignment="1">
      <alignment horizontal="right" wrapText="1"/>
    </xf>
    <xf numFmtId="0" fontId="12" fillId="0" borderId="0" xfId="0" applyFont="1" applyAlignment="1">
      <alignment horizontal="center" vertical="top" wrapText="1"/>
    </xf>
    <xf numFmtId="4" fontId="11" fillId="0" borderId="0" xfId="0" applyNumberFormat="1" applyFont="1" applyAlignment="1">
      <alignment vertical="top" wrapText="1"/>
    </xf>
    <xf numFmtId="0" fontId="12" fillId="0" borderId="11" xfId="0" applyFont="1" applyBorder="1" applyAlignment="1">
      <alignment horizontal="center" vertical="center"/>
    </xf>
    <xf numFmtId="4" fontId="12" fillId="0" borderId="11" xfId="0" applyNumberFormat="1" applyFont="1" applyBorder="1" applyAlignment="1">
      <alignment horizontal="center" vertical="center"/>
    </xf>
    <xf numFmtId="16" fontId="12" fillId="0" borderId="11" xfId="0" applyNumberFormat="1" applyFont="1" applyBorder="1" applyAlignment="1">
      <alignment horizontal="center" vertical="center"/>
    </xf>
    <xf numFmtId="4" fontId="11" fillId="0" borderId="11" xfId="0" applyNumberFormat="1" applyFont="1" applyBorder="1" applyAlignment="1">
      <alignment horizontal="center" vertical="center"/>
    </xf>
    <xf numFmtId="0" fontId="12" fillId="0" borderId="0" xfId="0" applyFont="1" applyAlignment="1">
      <alignment horizontal="center"/>
    </xf>
    <xf numFmtId="0" fontId="12" fillId="0" borderId="11" xfId="0" applyFont="1" applyBorder="1" applyAlignment="1">
      <alignment horizontal="center"/>
    </xf>
    <xf numFmtId="4" fontId="10" fillId="0" borderId="11" xfId="0" applyNumberFormat="1" applyFont="1" applyBorder="1" applyAlignment="1">
      <alignment horizontal="right" vertical="center"/>
    </xf>
    <xf numFmtId="0" fontId="12" fillId="0" borderId="0" xfId="0" applyFont="1" applyAlignment="1">
      <alignment vertical="center"/>
    </xf>
    <xf numFmtId="4" fontId="11" fillId="0" borderId="11" xfId="0" applyNumberFormat="1" applyFont="1" applyBorder="1" applyAlignment="1">
      <alignment horizontal="right" vertical="center"/>
    </xf>
    <xf numFmtId="4" fontId="11" fillId="0" borderId="11" xfId="0" applyNumberFormat="1" applyFont="1" applyBorder="1" applyAlignment="1">
      <alignment vertical="center"/>
    </xf>
    <xf numFmtId="4" fontId="11" fillId="0" borderId="0" xfId="0" applyNumberFormat="1" applyFont="1" applyAlignment="1">
      <alignment horizontal="center" vertical="center"/>
    </xf>
    <xf numFmtId="0" fontId="10" fillId="0" borderId="11" xfId="0" applyFont="1" applyFill="1" applyBorder="1" applyAlignment="1">
      <alignment horizontal="right" vertical="center" wrapText="1"/>
    </xf>
    <xf numFmtId="0" fontId="0" fillId="0" borderId="11" xfId="0" applyBorder="1" applyAlignment="1">
      <alignment wrapText="1"/>
    </xf>
    <xf numFmtId="0" fontId="80" fillId="0" borderId="0" xfId="0" applyFont="1" applyAlignment="1">
      <alignment/>
    </xf>
    <xf numFmtId="49" fontId="80" fillId="0" borderId="0" xfId="0" applyNumberFormat="1" applyFont="1" applyAlignment="1">
      <alignment/>
    </xf>
    <xf numFmtId="0" fontId="80" fillId="0" borderId="0" xfId="0" applyFont="1" applyAlignment="1">
      <alignment horizontal="center"/>
    </xf>
    <xf numFmtId="49" fontId="55" fillId="0" borderId="0" xfId="0" applyNumberFormat="1" applyFont="1" applyFill="1" applyBorder="1" applyAlignment="1">
      <alignment vertical="top" wrapText="1"/>
    </xf>
    <xf numFmtId="4" fontId="11" fillId="0" borderId="0" xfId="0" applyNumberFormat="1" applyFont="1" applyBorder="1" applyAlignment="1">
      <alignment vertical="center"/>
    </xf>
    <xf numFmtId="2" fontId="12" fillId="34" borderId="11" xfId="0" applyNumberFormat="1" applyFont="1" applyFill="1" applyBorder="1" applyAlignment="1">
      <alignment horizontal="center" vertical="top" wrapText="1"/>
    </xf>
    <xf numFmtId="2" fontId="12" fillId="0" borderId="11" xfId="0" applyNumberFormat="1" applyFont="1" applyBorder="1" applyAlignment="1">
      <alignment horizontal="center" vertical="top" wrapText="1"/>
    </xf>
    <xf numFmtId="0" fontId="12" fillId="34" borderId="0" xfId="0" applyFont="1" applyFill="1" applyAlignment="1">
      <alignment horizontal="right" vertical="top" wrapText="1"/>
    </xf>
    <xf numFmtId="4" fontId="11" fillId="34" borderId="11" xfId="0" applyNumberFormat="1" applyFont="1" applyFill="1" applyBorder="1" applyAlignment="1">
      <alignment horizontal="right" vertical="center" wrapText="1"/>
    </xf>
    <xf numFmtId="0" fontId="12" fillId="34" borderId="11" xfId="0" applyFont="1" applyFill="1" applyBorder="1" applyAlignment="1">
      <alignment horizontal="center" vertical="center"/>
    </xf>
    <xf numFmtId="4" fontId="12" fillId="34" borderId="11" xfId="0" applyNumberFormat="1" applyFont="1" applyFill="1" applyBorder="1" applyAlignment="1">
      <alignment horizontal="center" vertical="center"/>
    </xf>
    <xf numFmtId="4" fontId="11" fillId="34" borderId="11" xfId="0" applyNumberFormat="1" applyFont="1" applyFill="1" applyBorder="1" applyAlignment="1">
      <alignment horizontal="center" vertical="center"/>
    </xf>
    <xf numFmtId="0" fontId="12" fillId="34" borderId="0" xfId="0" applyFont="1" applyFill="1" applyAlignment="1">
      <alignment vertical="top" wrapText="1"/>
    </xf>
    <xf numFmtId="0" fontId="12" fillId="34" borderId="0" xfId="0" applyFont="1" applyFill="1" applyAlignment="1">
      <alignment horizontal="center"/>
    </xf>
    <xf numFmtId="0" fontId="12" fillId="34" borderId="0" xfId="0" applyFont="1" applyFill="1" applyAlignment="1">
      <alignment/>
    </xf>
    <xf numFmtId="0" fontId="12" fillId="34" borderId="11" xfId="0" applyNumberFormat="1" applyFont="1" applyFill="1" applyBorder="1" applyAlignment="1">
      <alignment horizontal="center" vertical="center" wrapText="1"/>
    </xf>
    <xf numFmtId="4" fontId="11" fillId="34" borderId="11" xfId="0" applyNumberFormat="1" applyFont="1" applyFill="1" applyBorder="1" applyAlignment="1">
      <alignment/>
    </xf>
    <xf numFmtId="0" fontId="11" fillId="34" borderId="0" xfId="0" applyFont="1" applyFill="1" applyBorder="1" applyAlignment="1">
      <alignment horizontal="center" vertical="center" wrapText="1"/>
    </xf>
    <xf numFmtId="4" fontId="11" fillId="34" borderId="0" xfId="0" applyNumberFormat="1" applyFont="1" applyFill="1" applyBorder="1" applyAlignment="1">
      <alignment horizontal="right" vertical="center" wrapText="1"/>
    </xf>
    <xf numFmtId="0" fontId="7" fillId="34" borderId="0" xfId="0" applyFont="1" applyFill="1" applyAlignment="1">
      <alignment vertical="top" wrapText="1"/>
    </xf>
    <xf numFmtId="0" fontId="2" fillId="34" borderId="0" xfId="0" applyFont="1" applyFill="1" applyAlignment="1">
      <alignment vertical="top" wrapText="1"/>
    </xf>
    <xf numFmtId="0" fontId="12" fillId="34" borderId="12" xfId="0" applyFont="1" applyFill="1" applyBorder="1" applyAlignment="1">
      <alignment horizontal="center" vertical="center" wrapText="1"/>
    </xf>
    <xf numFmtId="0" fontId="12" fillId="34" borderId="12" xfId="0" applyFont="1" applyFill="1" applyBorder="1" applyAlignment="1">
      <alignment horizontal="center" vertical="center"/>
    </xf>
    <xf numFmtId="4" fontId="10" fillId="34" borderId="11" xfId="0" applyNumberFormat="1" applyFont="1" applyFill="1" applyBorder="1" applyAlignment="1">
      <alignment horizontal="right" vertical="center"/>
    </xf>
    <xf numFmtId="4" fontId="11" fillId="34" borderId="11" xfId="0" applyNumberFormat="1" applyFont="1" applyFill="1" applyBorder="1" applyAlignment="1">
      <alignment horizontal="right" vertical="center"/>
    </xf>
    <xf numFmtId="4" fontId="11" fillId="34" borderId="0" xfId="0" applyNumberFormat="1" applyFont="1" applyFill="1" applyBorder="1" applyAlignment="1">
      <alignment horizontal="right" vertical="center"/>
    </xf>
    <xf numFmtId="0" fontId="11" fillId="34" borderId="0" xfId="0" applyFont="1" applyFill="1" applyBorder="1" applyAlignment="1">
      <alignment horizontal="center"/>
    </xf>
    <xf numFmtId="4" fontId="10" fillId="34" borderId="11" xfId="0" applyNumberFormat="1" applyFont="1" applyFill="1" applyBorder="1" applyAlignment="1">
      <alignment horizontal="center" vertical="center"/>
    </xf>
    <xf numFmtId="49" fontId="12" fillId="34" borderId="11" xfId="0" applyNumberFormat="1" applyFont="1" applyFill="1" applyBorder="1" applyAlignment="1">
      <alignment horizontal="center" vertical="center" wrapText="1"/>
    </xf>
    <xf numFmtId="4" fontId="16" fillId="34" borderId="11" xfId="0" applyNumberFormat="1" applyFont="1" applyFill="1" applyBorder="1" applyAlignment="1">
      <alignment horizontal="right" vertical="center" wrapText="1"/>
    </xf>
    <xf numFmtId="4" fontId="16" fillId="34" borderId="0" xfId="0" applyNumberFormat="1" applyFont="1" applyFill="1" applyBorder="1" applyAlignment="1">
      <alignment horizontal="right" vertical="center" wrapText="1"/>
    </xf>
    <xf numFmtId="2" fontId="12" fillId="34" borderId="11" xfId="0" applyNumberFormat="1" applyFont="1" applyFill="1" applyBorder="1" applyAlignment="1">
      <alignment horizontal="right" vertical="center" wrapText="1"/>
    </xf>
    <xf numFmtId="0" fontId="11" fillId="34" borderId="0" xfId="0" applyFont="1" applyFill="1" applyBorder="1" applyAlignment="1">
      <alignment horizontal="left" vertical="top" wrapText="1"/>
    </xf>
    <xf numFmtId="2" fontId="16" fillId="34" borderId="11" xfId="0" applyNumberFormat="1" applyFont="1" applyFill="1" applyBorder="1" applyAlignment="1">
      <alignment horizontal="right" vertical="center" wrapText="1"/>
    </xf>
    <xf numFmtId="4" fontId="12" fillId="34" borderId="11" xfId="0" applyNumberFormat="1" applyFont="1" applyFill="1" applyBorder="1" applyAlignment="1">
      <alignment horizontal="center" vertical="center" wrapText="1"/>
    </xf>
    <xf numFmtId="3" fontId="80" fillId="34" borderId="0" xfId="0" applyNumberFormat="1" applyFont="1" applyFill="1" applyAlignment="1">
      <alignment horizontal="center"/>
    </xf>
    <xf numFmtId="49" fontId="80" fillId="34" borderId="0" xfId="0" applyNumberFormat="1" applyFont="1" applyFill="1" applyAlignment="1">
      <alignment/>
    </xf>
    <xf numFmtId="0" fontId="80" fillId="34" borderId="0" xfId="0" applyFont="1" applyFill="1" applyAlignment="1">
      <alignment/>
    </xf>
    <xf numFmtId="0" fontId="12" fillId="0" borderId="0" xfId="0" applyFont="1" applyBorder="1" applyAlignment="1">
      <alignment horizontal="center" wrapText="1"/>
    </xf>
    <xf numFmtId="0" fontId="81" fillId="0" borderId="17" xfId="0" applyFont="1" applyBorder="1" applyAlignment="1">
      <alignment/>
    </xf>
    <xf numFmtId="0" fontId="81" fillId="0" borderId="18" xfId="0" applyFont="1" applyBorder="1" applyAlignment="1">
      <alignment/>
    </xf>
    <xf numFmtId="0" fontId="0" fillId="0" borderId="19" xfId="0" applyBorder="1" applyAlignment="1">
      <alignment wrapText="1"/>
    </xf>
    <xf numFmtId="0" fontId="81" fillId="0" borderId="20" xfId="0" applyFont="1" applyBorder="1" applyAlignment="1">
      <alignment/>
    </xf>
    <xf numFmtId="0" fontId="81" fillId="0" borderId="0" xfId="0" applyFont="1" applyAlignment="1">
      <alignment/>
    </xf>
    <xf numFmtId="0" fontId="0" fillId="0" borderId="21" xfId="0" applyBorder="1" applyAlignment="1">
      <alignment wrapText="1"/>
    </xf>
    <xf numFmtId="0" fontId="0" fillId="0" borderId="21" xfId="0" applyBorder="1" applyAlignment="1">
      <alignment/>
    </xf>
    <xf numFmtId="0" fontId="81" fillId="0" borderId="0" xfId="0" applyFont="1" applyAlignment="1">
      <alignment horizontal="center"/>
    </xf>
    <xf numFmtId="0" fontId="82" fillId="0" borderId="20" xfId="0" applyFont="1" applyBorder="1" applyAlignment="1">
      <alignment horizontal="center" wrapText="1"/>
    </xf>
    <xf numFmtId="0" fontId="82" fillId="0" borderId="0" xfId="0" applyFont="1" applyAlignment="1">
      <alignment horizontal="center" wrapText="1"/>
    </xf>
    <xf numFmtId="0" fontId="81" fillId="0" borderId="0" xfId="0" applyFont="1" applyAlignment="1">
      <alignment wrapText="1"/>
    </xf>
    <xf numFmtId="0" fontId="81" fillId="0" borderId="22" xfId="0" applyFont="1" applyBorder="1" applyAlignment="1">
      <alignment/>
    </xf>
    <xf numFmtId="0" fontId="81" fillId="0" borderId="23" xfId="0" applyFont="1" applyBorder="1" applyAlignment="1">
      <alignment/>
    </xf>
    <xf numFmtId="0" fontId="0" fillId="0" borderId="24" xfId="0" applyBorder="1" applyAlignment="1">
      <alignment/>
    </xf>
    <xf numFmtId="0" fontId="10" fillId="35" borderId="11" xfId="0" applyFont="1" applyFill="1" applyBorder="1" applyAlignment="1">
      <alignment horizontal="left" vertical="center" wrapText="1"/>
    </xf>
    <xf numFmtId="49" fontId="10" fillId="35" borderId="11" xfId="0" applyNumberFormat="1" applyFont="1" applyFill="1" applyBorder="1" applyAlignment="1">
      <alignment vertical="center" wrapText="1"/>
    </xf>
    <xf numFmtId="0" fontId="10" fillId="35" borderId="10" xfId="0" applyFont="1" applyFill="1" applyBorder="1" applyAlignment="1">
      <alignment horizontal="center" vertical="center" wrapText="1"/>
    </xf>
    <xf numFmtId="4" fontId="10" fillId="35" borderId="11" xfId="0" applyNumberFormat="1" applyFont="1" applyFill="1" applyBorder="1" applyAlignment="1">
      <alignment horizontal="right" vertical="center" wrapText="1"/>
    </xf>
    <xf numFmtId="0" fontId="15" fillId="34" borderId="11" xfId="0" applyFont="1" applyFill="1" applyBorder="1" applyAlignment="1">
      <alignment horizontal="center" vertical="center" wrapText="1"/>
    </xf>
    <xf numFmtId="0" fontId="10" fillId="34" borderId="11" xfId="0" applyFont="1" applyFill="1" applyBorder="1" applyAlignment="1">
      <alignment horizontal="left" vertical="center" wrapText="1"/>
    </xf>
    <xf numFmtId="49" fontId="10" fillId="34" borderId="11" xfId="0" applyNumberFormat="1" applyFont="1" applyFill="1" applyBorder="1" applyAlignment="1">
      <alignment horizontal="center" vertical="center" wrapText="1"/>
    </xf>
    <xf numFmtId="0" fontId="10" fillId="34" borderId="11" xfId="0" applyFont="1" applyFill="1" applyBorder="1" applyAlignment="1">
      <alignment horizontal="center" vertical="center" wrapText="1"/>
    </xf>
    <xf numFmtId="4" fontId="10" fillId="34" borderId="11" xfId="0" applyNumberFormat="1" applyFont="1" applyFill="1" applyBorder="1" applyAlignment="1">
      <alignment horizontal="right" vertical="center" wrapText="1"/>
    </xf>
    <xf numFmtId="197" fontId="10" fillId="34" borderId="11" xfId="60" applyNumberFormat="1" applyFont="1" applyFill="1" applyBorder="1" applyAlignment="1">
      <alignment horizontal="right" vertical="center" wrapText="1"/>
    </xf>
    <xf numFmtId="4" fontId="10" fillId="34" borderId="0" xfId="0" applyNumberFormat="1" applyFont="1" applyFill="1" applyBorder="1" applyAlignment="1">
      <alignment horizontal="right" vertical="center" wrapText="1"/>
    </xf>
    <xf numFmtId="0" fontId="0" fillId="34" borderId="0" xfId="0" applyFont="1" applyFill="1" applyBorder="1" applyAlignment="1">
      <alignment/>
    </xf>
    <xf numFmtId="0" fontId="0" fillId="34" borderId="0" xfId="0" applyFont="1" applyFill="1" applyAlignment="1">
      <alignment/>
    </xf>
    <xf numFmtId="49" fontId="15" fillId="34" borderId="11" xfId="0" applyNumberFormat="1" applyFont="1" applyFill="1" applyBorder="1" applyAlignment="1">
      <alignment horizontal="center" vertical="center" wrapText="1"/>
    </xf>
    <xf numFmtId="0" fontId="15" fillId="34" borderId="11" xfId="0" applyFont="1" applyFill="1" applyBorder="1" applyAlignment="1">
      <alignment vertical="top" wrapText="1"/>
    </xf>
    <xf numFmtId="0" fontId="15" fillId="34" borderId="11" xfId="0" applyFont="1" applyFill="1" applyBorder="1" applyAlignment="1">
      <alignment vertical="center" wrapText="1"/>
    </xf>
    <xf numFmtId="0" fontId="15" fillId="34" borderId="11" xfId="0" applyFont="1" applyFill="1" applyBorder="1" applyAlignment="1">
      <alignment horizontal="center" vertical="top" wrapText="1"/>
    </xf>
    <xf numFmtId="181" fontId="15" fillId="34" borderId="11" xfId="0" applyNumberFormat="1" applyFont="1" applyFill="1" applyBorder="1" applyAlignment="1">
      <alignment horizontal="center" vertical="center" wrapText="1"/>
    </xf>
    <xf numFmtId="49" fontId="80" fillId="0" borderId="0" xfId="0" applyNumberFormat="1" applyFont="1" applyAlignment="1">
      <alignment horizontal="center"/>
    </xf>
    <xf numFmtId="0" fontId="83" fillId="0" borderId="0" xfId="0" applyFont="1" applyAlignment="1">
      <alignment/>
    </xf>
    <xf numFmtId="49" fontId="83" fillId="0" borderId="0" xfId="0" applyNumberFormat="1" applyFont="1" applyAlignment="1">
      <alignment/>
    </xf>
    <xf numFmtId="0" fontId="11" fillId="0" borderId="0" xfId="0" applyFont="1" applyBorder="1" applyAlignment="1">
      <alignment horizontal="center" vertical="center"/>
    </xf>
    <xf numFmtId="0" fontId="0" fillId="0" borderId="0" xfId="0" applyAlignment="1">
      <alignment/>
    </xf>
    <xf numFmtId="0" fontId="0" fillId="0" borderId="0" xfId="0" applyBorder="1" applyAlignment="1">
      <alignment/>
    </xf>
    <xf numFmtId="0" fontId="12" fillId="34" borderId="11" xfId="0" applyFont="1" applyFill="1" applyBorder="1" applyAlignment="1">
      <alignment horizontal="center" vertical="center" wrapText="1"/>
    </xf>
    <xf numFmtId="49" fontId="10" fillId="34" borderId="11" xfId="0" applyNumberFormat="1" applyFont="1" applyFill="1" applyBorder="1" applyAlignment="1">
      <alignment horizontal="center" vertical="center"/>
    </xf>
    <xf numFmtId="4" fontId="12" fillId="34" borderId="11" xfId="0" applyNumberFormat="1" applyFont="1" applyFill="1" applyBorder="1" applyAlignment="1">
      <alignment horizontal="right" vertical="center" wrapText="1"/>
    </xf>
    <xf numFmtId="4" fontId="12" fillId="34" borderId="10" xfId="0" applyNumberFormat="1" applyFont="1" applyFill="1" applyBorder="1" applyAlignment="1">
      <alignment horizontal="center" vertical="center" wrapText="1"/>
    </xf>
    <xf numFmtId="181" fontId="12" fillId="34" borderId="11" xfId="60" applyFont="1" applyFill="1" applyBorder="1" applyAlignment="1">
      <alignment horizontal="right" vertical="center" wrapText="1"/>
    </xf>
    <xf numFmtId="2" fontId="10" fillId="34" borderId="11" xfId="0" applyNumberFormat="1" applyFont="1" applyFill="1" applyBorder="1" applyAlignment="1">
      <alignment horizontal="center" vertical="center"/>
    </xf>
    <xf numFmtId="0" fontId="12" fillId="34" borderId="0" xfId="0" applyFont="1" applyFill="1" applyAlignment="1">
      <alignment vertical="top" wrapText="1"/>
    </xf>
    <xf numFmtId="0" fontId="12" fillId="34" borderId="0" xfId="0" applyFont="1" applyFill="1" applyAlignment="1">
      <alignment/>
    </xf>
    <xf numFmtId="49" fontId="12" fillId="34" borderId="11" xfId="0" applyNumberFormat="1" applyFont="1" applyFill="1" applyBorder="1" applyAlignment="1">
      <alignment horizontal="center" vertical="center" wrapText="1"/>
    </xf>
    <xf numFmtId="4" fontId="16" fillId="34" borderId="11" xfId="0" applyNumberFormat="1" applyFont="1" applyFill="1" applyBorder="1" applyAlignment="1">
      <alignment horizontal="right" vertical="center" wrapText="1"/>
    </xf>
    <xf numFmtId="2" fontId="12" fillId="34" borderId="11" xfId="0" applyNumberFormat="1" applyFont="1" applyFill="1" applyBorder="1" applyAlignment="1">
      <alignment horizontal="right" vertical="center" wrapText="1"/>
    </xf>
    <xf numFmtId="197" fontId="81" fillId="0" borderId="11" xfId="0" applyNumberFormat="1" applyFont="1" applyBorder="1" applyAlignment="1">
      <alignment wrapText="1"/>
    </xf>
    <xf numFmtId="197" fontId="81" fillId="0" borderId="11" xfId="0" applyNumberFormat="1" applyFont="1" applyBorder="1" applyAlignment="1">
      <alignment vertical="center" wrapText="1"/>
    </xf>
    <xf numFmtId="43" fontId="12" fillId="34" borderId="11" xfId="0" applyNumberFormat="1" applyFont="1" applyFill="1" applyBorder="1" applyAlignment="1">
      <alignment horizontal="center" vertical="top" wrapText="1"/>
    </xf>
    <xf numFmtId="49" fontId="12" fillId="0" borderId="12" xfId="0" applyNumberFormat="1" applyFont="1" applyBorder="1" applyAlignment="1">
      <alignment horizontal="center" vertical="center" wrapText="1"/>
    </xf>
    <xf numFmtId="49" fontId="10" fillId="0" borderId="11" xfId="0" applyNumberFormat="1" applyFont="1" applyBorder="1" applyAlignment="1">
      <alignment horizontal="center" vertical="center"/>
    </xf>
    <xf numFmtId="2" fontId="10" fillId="0" borderId="11" xfId="0" applyNumberFormat="1" applyFont="1" applyBorder="1" applyAlignment="1">
      <alignment horizontal="center" vertical="center"/>
    </xf>
    <xf numFmtId="49" fontId="7" fillId="0" borderId="0" xfId="0" applyNumberFormat="1" applyFont="1" applyAlignment="1">
      <alignment vertical="top" wrapText="1"/>
    </xf>
    <xf numFmtId="0" fontId="80" fillId="0" borderId="16" xfId="0" applyFont="1" applyBorder="1" applyAlignment="1">
      <alignment/>
    </xf>
    <xf numFmtId="0" fontId="80" fillId="0" borderId="0" xfId="0" applyFont="1" applyBorder="1" applyAlignment="1">
      <alignment/>
    </xf>
    <xf numFmtId="4" fontId="11" fillId="0" borderId="11" xfId="0" applyNumberFormat="1" applyFont="1" applyBorder="1" applyAlignment="1">
      <alignment/>
    </xf>
    <xf numFmtId="0" fontId="26" fillId="34" borderId="13" xfId="0" applyFont="1" applyFill="1" applyBorder="1" applyAlignment="1">
      <alignment horizontal="left" vertical="center" wrapText="1"/>
    </xf>
    <xf numFmtId="4" fontId="12" fillId="0" borderId="11" xfId="0" applyNumberFormat="1" applyFont="1" applyBorder="1" applyAlignment="1">
      <alignment vertical="top" wrapText="1"/>
    </xf>
    <xf numFmtId="4" fontId="35" fillId="34" borderId="11" xfId="0" applyNumberFormat="1" applyFont="1" applyFill="1" applyBorder="1" applyAlignment="1">
      <alignment horizontal="center" vertical="center"/>
    </xf>
    <xf numFmtId="4" fontId="28" fillId="34" borderId="11" xfId="0" applyNumberFormat="1" applyFont="1" applyFill="1" applyBorder="1" applyAlignment="1">
      <alignment horizontal="center" vertical="center" wrapText="1"/>
    </xf>
    <xf numFmtId="0" fontId="79" fillId="34" borderId="11" xfId="0" applyFont="1" applyFill="1" applyBorder="1" applyAlignment="1">
      <alignment horizontal="left" vertical="center" wrapText="1"/>
    </xf>
    <xf numFmtId="3" fontId="29" fillId="34" borderId="11" xfId="0" applyNumberFormat="1" applyFont="1" applyFill="1" applyBorder="1" applyAlignment="1">
      <alignment horizontal="center" vertical="center" wrapText="1"/>
    </xf>
    <xf numFmtId="49" fontId="12" fillId="0" borderId="11" xfId="60" applyNumberFormat="1" applyFont="1" applyFill="1" applyBorder="1" applyAlignment="1">
      <alignment horizontal="center" vertical="center" wrapText="1"/>
    </xf>
    <xf numFmtId="49" fontId="12" fillId="34" borderId="11" xfId="6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xf>
    <xf numFmtId="49" fontId="12" fillId="34" borderId="12" xfId="0" applyNumberFormat="1" applyFont="1" applyFill="1" applyBorder="1" applyAlignment="1">
      <alignment horizontal="center" vertical="center"/>
    </xf>
    <xf numFmtId="4" fontId="12" fillId="34" borderId="11" xfId="0" applyNumberFormat="1" applyFont="1" applyFill="1" applyBorder="1" applyAlignment="1">
      <alignment horizontal="right" vertical="center"/>
    </xf>
    <xf numFmtId="0" fontId="0" fillId="0" borderId="11" xfId="0" applyBorder="1" applyAlignment="1">
      <alignment horizontal="center" vertical="center"/>
    </xf>
    <xf numFmtId="10" fontId="12" fillId="0" borderId="11" xfId="0" applyNumberFormat="1" applyFont="1" applyFill="1" applyBorder="1" applyAlignment="1">
      <alignment horizontal="center" vertical="center" wrapText="1"/>
    </xf>
    <xf numFmtId="4" fontId="35" fillId="0" borderId="11" xfId="0" applyNumberFormat="1" applyFont="1" applyBorder="1" applyAlignment="1">
      <alignment vertical="top" wrapText="1"/>
    </xf>
    <xf numFmtId="2" fontId="83" fillId="0" borderId="0" xfId="0" applyNumberFormat="1" applyFont="1" applyAlignment="1">
      <alignment horizontal="left"/>
    </xf>
    <xf numFmtId="0" fontId="12" fillId="0" borderId="11" xfId="0" applyNumberFormat="1" applyFont="1" applyBorder="1" applyAlignment="1">
      <alignment horizontal="center" vertical="top" wrapText="1"/>
    </xf>
    <xf numFmtId="4" fontId="37" fillId="34" borderId="11" xfId="0" applyNumberFormat="1" applyFont="1" applyFill="1" applyBorder="1" applyAlignment="1">
      <alignment horizontal="right" vertical="center" wrapText="1"/>
    </xf>
    <xf numFmtId="0" fontId="80" fillId="0" borderId="0" xfId="0" applyFont="1" applyAlignment="1">
      <alignment horizontal="left" wrapText="1"/>
    </xf>
    <xf numFmtId="2" fontId="83" fillId="0" borderId="0" xfId="0" applyNumberFormat="1" applyFont="1" applyAlignment="1">
      <alignment horizontal="left"/>
    </xf>
    <xf numFmtId="49" fontId="55" fillId="0" borderId="0" xfId="0" applyNumberFormat="1" applyFont="1" applyFill="1" applyBorder="1" applyAlignment="1">
      <alignment horizontal="left" vertical="top" wrapText="1"/>
    </xf>
    <xf numFmtId="49" fontId="55" fillId="34" borderId="0" xfId="0" applyNumberFormat="1" applyFont="1" applyFill="1" applyAlignment="1">
      <alignment horizontal="left" vertical="top" wrapText="1"/>
    </xf>
    <xf numFmtId="0" fontId="80" fillId="0" borderId="0" xfId="0" applyFont="1" applyAlignment="1">
      <alignment horizontal="left"/>
    </xf>
    <xf numFmtId="2" fontId="28" fillId="0" borderId="25" xfId="0" applyNumberFormat="1" applyFont="1" applyFill="1" applyBorder="1" applyAlignment="1">
      <alignment horizontal="center"/>
    </xf>
    <xf numFmtId="0" fontId="26" fillId="0" borderId="11" xfId="0" applyFont="1" applyFill="1" applyBorder="1" applyAlignment="1">
      <alignment horizontal="center" vertical="center" wrapText="1"/>
    </xf>
    <xf numFmtId="0" fontId="28" fillId="0" borderId="0" xfId="0" applyFont="1" applyFill="1" applyBorder="1" applyAlignment="1">
      <alignment horizontal="left"/>
    </xf>
    <xf numFmtId="0" fontId="24" fillId="0" borderId="0" xfId="0" applyFont="1" applyFill="1" applyBorder="1" applyAlignment="1">
      <alignment horizontal="left"/>
    </xf>
    <xf numFmtId="0" fontId="26" fillId="0" borderId="13" xfId="0" applyFont="1" applyFill="1" applyBorder="1" applyAlignment="1">
      <alignment horizontal="center" vertical="center" textRotation="90" wrapText="1"/>
    </xf>
    <xf numFmtId="0" fontId="26" fillId="0" borderId="10" xfId="0" applyFont="1" applyFill="1" applyBorder="1" applyAlignment="1">
      <alignment horizontal="center" vertical="center" textRotation="90" wrapText="1"/>
    </xf>
    <xf numFmtId="0" fontId="26" fillId="0" borderId="26"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 fillId="0" borderId="0" xfId="0" applyFont="1" applyFill="1" applyAlignment="1">
      <alignment horizontal="center"/>
    </xf>
    <xf numFmtId="0" fontId="79" fillId="34" borderId="11" xfId="0" applyFont="1" applyFill="1" applyBorder="1" applyAlignment="1">
      <alignment horizontal="center" vertical="center" wrapText="1"/>
    </xf>
    <xf numFmtId="49" fontId="7" fillId="0" borderId="0" xfId="0" applyNumberFormat="1" applyFont="1" applyFill="1" applyAlignment="1">
      <alignment horizontal="right" vertical="center"/>
    </xf>
    <xf numFmtId="0" fontId="7" fillId="0" borderId="0" xfId="0" applyFont="1" applyFill="1" applyAlignment="1">
      <alignment horizontal="right" vertical="center"/>
    </xf>
    <xf numFmtId="0" fontId="25" fillId="0" borderId="0" xfId="0" applyFont="1" applyFill="1" applyAlignment="1">
      <alignment horizontal="center" vertical="center"/>
    </xf>
    <xf numFmtId="0" fontId="25" fillId="0" borderId="0" xfId="0" applyFont="1" applyFill="1" applyAlignment="1">
      <alignment/>
    </xf>
    <xf numFmtId="0" fontId="25" fillId="0" borderId="0" xfId="0" applyFont="1" applyFill="1" applyAlignment="1">
      <alignment horizontal="center" vertical="center" wrapText="1"/>
    </xf>
    <xf numFmtId="0" fontId="78" fillId="0" borderId="12" xfId="0" applyFont="1" applyFill="1" applyBorder="1" applyAlignment="1">
      <alignment horizontal="center" vertical="center" wrapText="1"/>
    </xf>
    <xf numFmtId="0" fontId="78" fillId="0" borderId="27"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26" fillId="0" borderId="11" xfId="0" applyFont="1" applyFill="1" applyBorder="1" applyAlignment="1">
      <alignment horizontal="center" vertical="center" textRotation="90" wrapText="1"/>
    </xf>
    <xf numFmtId="0" fontId="7" fillId="0" borderId="0" xfId="0" applyFont="1" applyFill="1" applyAlignment="1">
      <alignment horizontal="center" wrapText="1"/>
    </xf>
    <xf numFmtId="0" fontId="79" fillId="0" borderId="11" xfId="0" applyFont="1" applyBorder="1" applyAlignment="1">
      <alignment horizontal="center" vertical="center" wrapText="1"/>
    </xf>
    <xf numFmtId="0" fontId="78" fillId="0" borderId="15" xfId="0" applyFont="1" applyFill="1" applyBorder="1" applyAlignment="1">
      <alignment horizontal="center" vertical="center" textRotation="90" wrapText="1"/>
    </xf>
    <xf numFmtId="0" fontId="79" fillId="0" borderId="11" xfId="0" applyFont="1" applyFill="1" applyBorder="1" applyAlignment="1">
      <alignment horizontal="center" vertical="center" wrapText="1"/>
    </xf>
    <xf numFmtId="0" fontId="76" fillId="0" borderId="11" xfId="0" applyFont="1" applyBorder="1" applyAlignment="1">
      <alignment horizontal="center" vertical="center"/>
    </xf>
    <xf numFmtId="0" fontId="76" fillId="0" borderId="16" xfId="0" applyFont="1" applyBorder="1" applyAlignment="1">
      <alignment horizontal="center"/>
    </xf>
    <xf numFmtId="0" fontId="76" fillId="0" borderId="27" xfId="0" applyFont="1" applyBorder="1" applyAlignment="1">
      <alignment horizontal="center" wrapText="1"/>
    </xf>
    <xf numFmtId="0" fontId="76" fillId="0" borderId="27" xfId="0" applyFont="1" applyBorder="1" applyAlignment="1">
      <alignment horizontal="center"/>
    </xf>
    <xf numFmtId="0" fontId="78" fillId="0" borderId="0" xfId="0" applyFont="1" applyBorder="1" applyAlignment="1">
      <alignment horizontal="center" vertical="center" wrapText="1"/>
    </xf>
    <xf numFmtId="0" fontId="78" fillId="0" borderId="0" xfId="0" applyFont="1" applyBorder="1" applyAlignment="1">
      <alignment horizontal="center"/>
    </xf>
    <xf numFmtId="0" fontId="76" fillId="0" borderId="0" xfId="0" applyFont="1" applyBorder="1" applyAlignment="1">
      <alignment horizontal="left" vertical="top" wrapText="1"/>
    </xf>
    <xf numFmtId="0" fontId="76" fillId="0" borderId="29" xfId="0" applyFont="1" applyBorder="1" applyAlignment="1">
      <alignment horizontal="left" vertical="top" wrapText="1"/>
    </xf>
    <xf numFmtId="0" fontId="76" fillId="0" borderId="11" xfId="0" applyFont="1" applyBorder="1" applyAlignment="1">
      <alignment horizontal="center" vertical="center" wrapText="1"/>
    </xf>
    <xf numFmtId="0" fontId="84" fillId="0" borderId="0" xfId="0" applyFont="1" applyBorder="1" applyAlignment="1">
      <alignment horizontal="center" wrapText="1"/>
    </xf>
    <xf numFmtId="0" fontId="84" fillId="0" borderId="0" xfId="0" applyFont="1" applyBorder="1" applyAlignment="1">
      <alignment horizontal="center"/>
    </xf>
    <xf numFmtId="0" fontId="76" fillId="0" borderId="0" xfId="0" applyFont="1" applyBorder="1" applyAlignment="1">
      <alignment horizontal="left" wrapText="1"/>
    </xf>
    <xf numFmtId="0" fontId="81" fillId="0" borderId="11" xfId="0" applyFont="1" applyBorder="1" applyAlignment="1">
      <alignment horizontal="center" vertical="center"/>
    </xf>
    <xf numFmtId="0" fontId="81" fillId="0" borderId="18" xfId="0" applyFont="1" applyBorder="1" applyAlignment="1">
      <alignment horizontal="left" vertical="top" wrapText="1"/>
    </xf>
    <xf numFmtId="0" fontId="82" fillId="0" borderId="20" xfId="0" applyFont="1" applyBorder="1" applyAlignment="1">
      <alignment horizontal="center" wrapText="1"/>
    </xf>
    <xf numFmtId="0" fontId="82" fillId="0" borderId="0" xfId="0" applyFont="1" applyAlignment="1">
      <alignment horizontal="center"/>
    </xf>
    <xf numFmtId="0" fontId="81" fillId="0" borderId="0" xfId="0" applyFont="1" applyAlignment="1">
      <alignment horizontal="center" vertical="center" wrapText="1"/>
    </xf>
    <xf numFmtId="0" fontId="81" fillId="0" borderId="16" xfId="0" applyFont="1" applyBorder="1" applyAlignment="1">
      <alignment horizontal="center"/>
    </xf>
    <xf numFmtId="0" fontId="81" fillId="0" borderId="0" xfId="0" applyFont="1" applyAlignment="1">
      <alignment horizontal="center"/>
    </xf>
    <xf numFmtId="0" fontId="82" fillId="0" borderId="0" xfId="0" applyFont="1" applyAlignment="1">
      <alignment horizontal="center" wrapText="1"/>
    </xf>
    <xf numFmtId="0" fontId="81" fillId="0" borderId="11" xfId="0" applyFont="1" applyBorder="1" applyAlignment="1">
      <alignment horizontal="center"/>
    </xf>
    <xf numFmtId="0" fontId="81" fillId="0" borderId="20" xfId="0" applyFont="1" applyBorder="1" applyAlignment="1">
      <alignment horizontal="left" vertical="center" wrapText="1"/>
    </xf>
    <xf numFmtId="0" fontId="81" fillId="0" borderId="0" xfId="0" applyFont="1" applyAlignment="1">
      <alignment horizontal="left" vertical="center" wrapText="1"/>
    </xf>
    <xf numFmtId="14" fontId="81" fillId="0" borderId="11" xfId="0" applyNumberFormat="1" applyFont="1" applyBorder="1" applyAlignment="1">
      <alignment horizontal="center" vertical="center"/>
    </xf>
    <xf numFmtId="0" fontId="81" fillId="0" borderId="0" xfId="0" applyFont="1" applyAlignment="1">
      <alignment horizontal="center" vertical="center"/>
    </xf>
    <xf numFmtId="0" fontId="9" fillId="0" borderId="0" xfId="0" applyFont="1" applyFill="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1" fillId="0" borderId="11" xfId="0" applyFont="1" applyFill="1" applyBorder="1" applyAlignment="1">
      <alignment horizontal="center"/>
    </xf>
    <xf numFmtId="0" fontId="12" fillId="0" borderId="1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1" fillId="0" borderId="0" xfId="0" applyFont="1" applyAlignment="1">
      <alignment horizontal="center" wrapText="1"/>
    </xf>
    <xf numFmtId="0" fontId="12" fillId="0" borderId="0" xfId="0" applyFont="1" applyAlignment="1">
      <alignment horizontal="center" wrapText="1"/>
    </xf>
    <xf numFmtId="0" fontId="15" fillId="0" borderId="0" xfId="0" applyFont="1" applyAlignment="1">
      <alignment horizontal="center" vertical="center" wrapText="1"/>
    </xf>
    <xf numFmtId="0" fontId="11" fillId="0" borderId="0" xfId="0" applyFont="1" applyAlignment="1">
      <alignment horizontal="center" vertical="center" wrapText="1"/>
    </xf>
    <xf numFmtId="0" fontId="21" fillId="0" borderId="0" xfId="0" applyFont="1" applyBorder="1" applyAlignment="1">
      <alignment horizontal="center" wrapText="1"/>
    </xf>
    <xf numFmtId="0" fontId="12" fillId="0" borderId="0" xfId="0" applyFont="1" applyBorder="1" applyAlignment="1">
      <alignment horizontal="center" wrapText="1"/>
    </xf>
    <xf numFmtId="0" fontId="7" fillId="0" borderId="0" xfId="0" applyFont="1" applyAlignment="1">
      <alignment horizontal="center" vertical="top" wrapText="1"/>
    </xf>
    <xf numFmtId="0" fontId="8" fillId="0" borderId="0" xfId="0" applyFont="1" applyAlignment="1">
      <alignment horizontal="center"/>
    </xf>
    <xf numFmtId="0" fontId="22"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12" borderId="13" xfId="0" applyFont="1" applyFill="1" applyBorder="1" applyAlignment="1">
      <alignment horizontal="center" vertical="center" wrapText="1"/>
    </xf>
    <xf numFmtId="0" fontId="22" fillId="12" borderId="10" xfId="0"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49" fontId="10" fillId="0" borderId="28" xfId="0" applyNumberFormat="1" applyFont="1" applyFill="1" applyBorder="1" applyAlignment="1">
      <alignment horizontal="left" vertical="center" wrapText="1"/>
    </xf>
    <xf numFmtId="0" fontId="11" fillId="0" borderId="0" xfId="0" applyFont="1" applyFill="1" applyAlignment="1">
      <alignment horizontal="center"/>
    </xf>
    <xf numFmtId="0" fontId="12" fillId="0" borderId="25" xfId="0" applyFont="1" applyFill="1" applyBorder="1" applyAlignment="1">
      <alignment horizontal="left" vertical="center"/>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2" fillId="0" borderId="12" xfId="0" applyFont="1" applyFill="1" applyBorder="1" applyAlignment="1">
      <alignment horizontal="left"/>
    </xf>
    <xf numFmtId="0" fontId="12" fillId="0" borderId="28" xfId="0" applyFont="1" applyFill="1" applyBorder="1" applyAlignment="1">
      <alignment horizontal="left"/>
    </xf>
    <xf numFmtId="0" fontId="11" fillId="0" borderId="11" xfId="0" applyFont="1" applyFill="1" applyBorder="1" applyAlignment="1">
      <alignment horizontal="center" vertical="center"/>
    </xf>
    <xf numFmtId="0" fontId="11" fillId="0" borderId="11" xfId="0" applyFont="1" applyFill="1" applyBorder="1" applyAlignment="1">
      <alignment horizontal="right" vertical="top" wrapText="1"/>
    </xf>
    <xf numFmtId="0" fontId="12" fillId="0" borderId="11" xfId="0" applyFont="1" applyFill="1" applyBorder="1" applyAlignment="1">
      <alignment horizontal="left" vertical="center" wrapText="1"/>
    </xf>
    <xf numFmtId="0" fontId="12" fillId="34"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7" fillId="0" borderId="11" xfId="0" applyFont="1" applyFill="1" applyBorder="1" applyAlignment="1">
      <alignment vertical="center"/>
    </xf>
    <xf numFmtId="0" fontId="10" fillId="0" borderId="1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1" fillId="0" borderId="12"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Alignment="1">
      <alignment horizontal="center" vertical="top" wrapText="1"/>
    </xf>
    <xf numFmtId="0" fontId="10" fillId="0" borderId="11" xfId="0" applyFont="1" applyBorder="1" applyAlignment="1">
      <alignment horizontal="left" vertical="center" wrapText="1"/>
    </xf>
    <xf numFmtId="0" fontId="17" fillId="0" borderId="11" xfId="0" applyFont="1" applyBorder="1" applyAlignment="1">
      <alignment vertical="center"/>
    </xf>
    <xf numFmtId="49" fontId="10" fillId="0" borderId="12" xfId="0" applyNumberFormat="1" applyFont="1" applyFill="1" applyBorder="1" applyAlignment="1">
      <alignment horizontal="center" vertical="center" wrapText="1"/>
    </xf>
    <xf numFmtId="49" fontId="17" fillId="0" borderId="28" xfId="0" applyNumberFormat="1" applyFont="1" applyFill="1" applyBorder="1" applyAlignment="1">
      <alignment horizontal="center" vertical="center"/>
    </xf>
    <xf numFmtId="0" fontId="11" fillId="0" borderId="0" xfId="0" applyFont="1" applyFill="1" applyAlignment="1">
      <alignment horizontal="center" wrapText="1"/>
    </xf>
    <xf numFmtId="49" fontId="10" fillId="0" borderId="28" xfId="0" applyNumberFormat="1" applyFont="1" applyFill="1" applyBorder="1" applyAlignment="1">
      <alignment horizontal="center" vertical="center" wrapText="1"/>
    </xf>
    <xf numFmtId="0" fontId="12" fillId="0" borderId="25" xfId="0" applyFont="1" applyFill="1" applyBorder="1" applyAlignment="1">
      <alignment horizontal="left" vertical="top"/>
    </xf>
    <xf numFmtId="0" fontId="11" fillId="0" borderId="1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2" fillId="0" borderId="25" xfId="0" applyFont="1" applyFill="1" applyBorder="1" applyAlignment="1">
      <alignment horizontal="left" vertical="top" wrapText="1"/>
    </xf>
    <xf numFmtId="0" fontId="12" fillId="0" borderId="0" xfId="0" applyFont="1" applyFill="1" applyAlignment="1">
      <alignment horizontal="right" vertical="top" wrapText="1"/>
    </xf>
    <xf numFmtId="0" fontId="12" fillId="0" borderId="0" xfId="0" applyFont="1" applyAlignment="1">
      <alignment horizontal="right" vertical="top" wrapText="1"/>
    </xf>
    <xf numFmtId="0" fontId="23" fillId="0" borderId="0" xfId="0" applyFont="1" applyAlignment="1">
      <alignment horizontal="center" vertical="top" wrapText="1"/>
    </xf>
    <xf numFmtId="0" fontId="12" fillId="0" borderId="12"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1" fillId="0" borderId="0" xfId="0" applyFont="1" applyFill="1" applyAlignment="1">
      <alignment horizontal="center" vertical="top" wrapText="1"/>
    </xf>
    <xf numFmtId="0" fontId="12" fillId="0" borderId="0" xfId="0" applyFont="1" applyAlignment="1">
      <alignment horizontal="left" vertical="top" wrapText="1"/>
    </xf>
    <xf numFmtId="0" fontId="12" fillId="0" borderId="13" xfId="0" applyFont="1" applyBorder="1" applyAlignment="1">
      <alignment horizontal="center" vertical="top" wrapText="1"/>
    </xf>
    <xf numFmtId="0" fontId="12" fillId="0" borderId="10" xfId="0" applyFont="1" applyBorder="1" applyAlignment="1">
      <alignment horizontal="center" vertical="top" wrapText="1"/>
    </xf>
    <xf numFmtId="0" fontId="11" fillId="0" borderId="12"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28" xfId="0" applyFont="1" applyFill="1" applyBorder="1" applyAlignment="1">
      <alignment horizontal="left" vertical="top" wrapText="1"/>
    </xf>
    <xf numFmtId="0" fontId="12" fillId="0" borderId="25" xfId="0" applyFont="1" applyFill="1" applyBorder="1" applyAlignment="1">
      <alignment horizontal="center" vertical="top" wrapText="1"/>
    </xf>
    <xf numFmtId="0" fontId="11" fillId="0" borderId="25" xfId="0" applyFont="1" applyFill="1" applyBorder="1" applyAlignment="1">
      <alignment horizontal="center" vertical="top" wrapText="1"/>
    </xf>
    <xf numFmtId="0" fontId="35" fillId="0" borderId="11" xfId="0" applyFont="1" applyFill="1" applyBorder="1" applyAlignment="1">
      <alignment horizontal="right" vertical="top" wrapText="1"/>
    </xf>
    <xf numFmtId="0" fontId="11" fillId="0" borderId="0" xfId="0" applyFont="1" applyAlignment="1">
      <alignment horizontal="center" wrapText="1"/>
    </xf>
    <xf numFmtId="0" fontId="12" fillId="0" borderId="12"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0" xfId="0" applyFont="1" applyFill="1" applyAlignment="1">
      <alignment horizontal="left"/>
    </xf>
    <xf numFmtId="0" fontId="12" fillId="0" borderId="12"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35" fillId="0" borderId="11" xfId="0" applyFont="1" applyFill="1" applyBorder="1" applyAlignment="1">
      <alignment horizontal="right" vertical="center"/>
    </xf>
    <xf numFmtId="0" fontId="12"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12" fillId="0" borderId="12" xfId="0" applyFont="1" applyFill="1" applyBorder="1" applyAlignment="1">
      <alignment horizontal="center"/>
    </xf>
    <xf numFmtId="0" fontId="12" fillId="0" borderId="28" xfId="0" applyFont="1" applyFill="1" applyBorder="1" applyAlignment="1">
      <alignment horizont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12" xfId="0" applyFont="1" applyFill="1" applyBorder="1" applyAlignment="1">
      <alignment horizontal="center" vertical="center" wrapText="1"/>
    </xf>
    <xf numFmtId="0" fontId="17" fillId="0" borderId="28"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xf>
    <xf numFmtId="0" fontId="7" fillId="0" borderId="0" xfId="0" applyFont="1" applyFill="1" applyAlignment="1">
      <alignment horizontal="left" vertical="top" wrapText="1"/>
    </xf>
    <xf numFmtId="0" fontId="11" fillId="0" borderId="16" xfId="0" applyFont="1" applyFill="1" applyBorder="1" applyAlignment="1">
      <alignment horizontal="center" wrapText="1"/>
    </xf>
    <xf numFmtId="0" fontId="11" fillId="0" borderId="16" xfId="0" applyFont="1" applyBorder="1" applyAlignment="1">
      <alignment horizontal="center" vertical="top" wrapText="1"/>
    </xf>
    <xf numFmtId="0" fontId="14" fillId="0" borderId="0" xfId="0" applyFont="1" applyFill="1" applyAlignment="1">
      <alignment horizontal="left" vertical="top" wrapText="1"/>
    </xf>
    <xf numFmtId="0" fontId="10" fillId="0" borderId="28" xfId="0" applyFont="1" applyFill="1" applyBorder="1" applyAlignment="1">
      <alignment horizontal="center" vertical="center" wrapText="1"/>
    </xf>
    <xf numFmtId="0" fontId="11" fillId="0" borderId="0" xfId="0" applyFont="1" applyFill="1" applyAlignment="1">
      <alignment horizontal="center" vertical="center" wrapText="1"/>
    </xf>
    <xf numFmtId="0" fontId="14" fillId="0" borderId="25" xfId="0" applyFont="1" applyFill="1" applyBorder="1" applyAlignment="1">
      <alignment horizontal="center" vertical="top" wrapText="1"/>
    </xf>
    <xf numFmtId="0" fontId="31" fillId="0" borderId="25" xfId="0" applyFont="1" applyFill="1" applyBorder="1" applyAlignment="1">
      <alignment horizontal="center" vertical="top" wrapText="1"/>
    </xf>
    <xf numFmtId="0" fontId="14" fillId="0" borderId="0" xfId="0" applyFont="1" applyFill="1" applyBorder="1" applyAlignment="1">
      <alignment horizontal="center" vertical="top" wrapText="1"/>
    </xf>
    <xf numFmtId="0" fontId="31" fillId="0" borderId="0" xfId="0" applyFont="1" applyFill="1" applyBorder="1" applyAlignment="1">
      <alignment horizontal="center" vertical="top" wrapText="1"/>
    </xf>
    <xf numFmtId="0" fontId="12" fillId="0" borderId="27" xfId="0" applyFont="1" applyFill="1" applyBorder="1" applyAlignment="1">
      <alignment horizontal="center"/>
    </xf>
    <xf numFmtId="49" fontId="12" fillId="0" borderId="12"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49" fontId="10" fillId="0" borderId="12" xfId="0" applyNumberFormat="1" applyFont="1" applyBorder="1" applyAlignment="1">
      <alignment horizontal="left" vertical="center" wrapText="1"/>
    </xf>
    <xf numFmtId="49" fontId="10" fillId="0" borderId="28" xfId="0" applyNumberFormat="1" applyFont="1" applyBorder="1" applyAlignment="1">
      <alignment horizontal="left" vertical="center" wrapText="1"/>
    </xf>
    <xf numFmtId="0" fontId="12" fillId="0" borderId="12" xfId="0" applyFont="1" applyBorder="1" applyAlignment="1">
      <alignment horizontal="center" vertical="center" wrapText="1"/>
    </xf>
    <xf numFmtId="0" fontId="12" fillId="0" borderId="28" xfId="0" applyFont="1" applyBorder="1" applyAlignment="1">
      <alignment horizontal="center" vertical="center" wrapText="1"/>
    </xf>
    <xf numFmtId="0" fontId="11" fillId="0" borderId="12"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9" fontId="12" fillId="0" borderId="11"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top" wrapText="1"/>
    </xf>
    <xf numFmtId="0" fontId="12" fillId="0" borderId="11" xfId="0" applyFont="1" applyBorder="1" applyAlignment="1">
      <alignment horizontal="center" wrapText="1"/>
    </xf>
    <xf numFmtId="0" fontId="11" fillId="0" borderId="1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8" xfId="0" applyFont="1" applyFill="1" applyBorder="1" applyAlignment="1">
      <alignment horizontal="center" vertical="top" wrapText="1"/>
    </xf>
    <xf numFmtId="0" fontId="11" fillId="0" borderId="27" xfId="0" applyFont="1" applyFill="1" applyBorder="1" applyAlignment="1">
      <alignment horizontal="center" wrapText="1"/>
    </xf>
    <xf numFmtId="0" fontId="11" fillId="0" borderId="25" xfId="0" applyFont="1" applyFill="1" applyBorder="1" applyAlignment="1">
      <alignment horizontal="center" wrapText="1"/>
    </xf>
    <xf numFmtId="0" fontId="11" fillId="0" borderId="25" xfId="0" applyFont="1" applyFill="1" applyBorder="1" applyAlignment="1">
      <alignment horizontal="center"/>
    </xf>
    <xf numFmtId="0" fontId="10" fillId="0" borderId="27" xfId="0" applyFont="1" applyFill="1" applyBorder="1" applyAlignment="1">
      <alignment horizontal="center" vertical="center" wrapText="1"/>
    </xf>
    <xf numFmtId="0" fontId="11" fillId="0" borderId="0" xfId="0" applyFont="1" applyAlignment="1">
      <alignment horizontal="center" vertical="center"/>
    </xf>
    <xf numFmtId="0" fontId="10" fillId="0" borderId="11"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12"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10" fillId="0" borderId="12"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1" fillId="0" borderId="25" xfId="0" applyFont="1" applyBorder="1" applyAlignment="1">
      <alignment horizontal="center"/>
    </xf>
    <xf numFmtId="0" fontId="11" fillId="34" borderId="12"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28" xfId="0" applyFont="1" applyFill="1" applyBorder="1" applyAlignment="1">
      <alignment horizontal="center" vertical="center"/>
    </xf>
    <xf numFmtId="0" fontId="12" fillId="0" borderId="0" xfId="0" applyFont="1" applyAlignment="1">
      <alignment horizontal="left" wrapText="1"/>
    </xf>
    <xf numFmtId="0" fontId="12" fillId="0" borderId="27" xfId="0" applyFont="1" applyFill="1" applyBorder="1" applyAlignment="1">
      <alignment horizontal="center" vertical="top" wrapText="1"/>
    </xf>
    <xf numFmtId="0" fontId="12" fillId="0" borderId="12" xfId="0" applyFont="1" applyFill="1" applyBorder="1" applyAlignment="1">
      <alignment horizontal="center" wrapText="1"/>
    </xf>
    <xf numFmtId="0" fontId="12" fillId="0" borderId="27" xfId="0" applyFont="1" applyFill="1" applyBorder="1" applyAlignment="1">
      <alignment horizontal="center" wrapText="1"/>
    </xf>
    <xf numFmtId="0" fontId="12" fillId="0" borderId="28" xfId="0" applyFont="1" applyFill="1" applyBorder="1" applyAlignment="1">
      <alignment horizontal="center" wrapText="1"/>
    </xf>
    <xf numFmtId="0" fontId="11" fillId="0" borderId="16" xfId="0" applyFont="1" applyBorder="1" applyAlignment="1">
      <alignment horizontal="center" wrapText="1"/>
    </xf>
    <xf numFmtId="0" fontId="15" fillId="0" borderId="25" xfId="0" applyFont="1" applyBorder="1" applyAlignment="1">
      <alignment horizontal="left" vertical="top" wrapText="1"/>
    </xf>
    <xf numFmtId="0" fontId="11" fillId="0" borderId="11"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1" xfId="0" applyFont="1" applyFill="1" applyBorder="1" applyAlignment="1">
      <alignment horizontal="center" wrapText="1"/>
    </xf>
    <xf numFmtId="0" fontId="11" fillId="0" borderId="11" xfId="0" applyFont="1" applyBorder="1" applyAlignment="1">
      <alignment horizontal="center" vertical="top" wrapText="1"/>
    </xf>
    <xf numFmtId="0" fontId="85" fillId="0" borderId="12" xfId="0" applyFont="1" applyBorder="1" applyAlignment="1">
      <alignment horizontal="center" vertical="center"/>
    </xf>
    <xf numFmtId="0" fontId="85" fillId="0" borderId="27" xfId="0" applyFont="1" applyBorder="1" applyAlignment="1">
      <alignment horizontal="center" vertical="center"/>
    </xf>
    <xf numFmtId="0" fontId="85" fillId="0" borderId="28" xfId="0" applyFont="1" applyBorder="1" applyAlignment="1">
      <alignment horizontal="center" vertical="center"/>
    </xf>
    <xf numFmtId="0" fontId="15" fillId="0" borderId="25" xfId="0" applyFont="1" applyBorder="1" applyAlignment="1">
      <alignment horizontal="left" vertical="top" wrapText="1"/>
    </xf>
    <xf numFmtId="0" fontId="12" fillId="0" borderId="11" xfId="0" applyFont="1" applyBorder="1" applyAlignment="1">
      <alignment horizontal="center" vertical="center"/>
    </xf>
    <xf numFmtId="0" fontId="12" fillId="0" borderId="11" xfId="0" applyFont="1" applyBorder="1" applyAlignment="1">
      <alignment horizontal="left" vertical="center" wrapText="1"/>
    </xf>
    <xf numFmtId="0" fontId="11" fillId="0" borderId="11" xfId="0" applyFont="1" applyBorder="1" applyAlignment="1">
      <alignment horizontal="center" vertical="center"/>
    </xf>
    <xf numFmtId="0" fontId="11" fillId="0" borderId="27" xfId="0" applyFont="1" applyBorder="1" applyAlignment="1">
      <alignment horizontal="center" wrapText="1"/>
    </xf>
    <xf numFmtId="0" fontId="37" fillId="0" borderId="11" xfId="0" applyFont="1" applyFill="1" applyBorder="1" applyAlignment="1">
      <alignment horizontal="center" vertical="center"/>
    </xf>
    <xf numFmtId="0" fontId="36" fillId="0" borderId="12"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23" fillId="0" borderId="0" xfId="0" applyFont="1" applyBorder="1" applyAlignment="1">
      <alignment horizontal="center" wrapText="1"/>
    </xf>
    <xf numFmtId="181" fontId="12" fillId="0" borderId="12" xfId="60" applyFont="1" applyBorder="1" applyAlignment="1">
      <alignment horizontal="center" vertical="top" wrapText="1"/>
    </xf>
    <xf numFmtId="181" fontId="12" fillId="0" borderId="28" xfId="60" applyFont="1" applyBorder="1" applyAlignment="1">
      <alignment horizontal="center" vertical="top" wrapText="1"/>
    </xf>
    <xf numFmtId="0" fontId="12" fillId="0" borderId="0" xfId="0" applyFont="1" applyBorder="1" applyAlignment="1">
      <alignment horizontal="left" vertical="top" wrapText="1"/>
    </xf>
    <xf numFmtId="0" fontId="12" fillId="0" borderId="0" xfId="0" applyFont="1" applyBorder="1" applyAlignment="1">
      <alignment horizontal="left" vertical="top" wrapText="1"/>
    </xf>
    <xf numFmtId="0" fontId="11" fillId="0" borderId="0" xfId="0" applyFont="1" applyAlignment="1">
      <alignment horizontal="center" vertical="top" wrapText="1"/>
    </xf>
    <xf numFmtId="0" fontId="11" fillId="0" borderId="0" xfId="0" applyFont="1" applyFill="1" applyAlignment="1">
      <alignment horizontal="center" vertical="top" wrapText="1"/>
    </xf>
    <xf numFmtId="0" fontId="12" fillId="0" borderId="12" xfId="0" applyFont="1" applyBorder="1" applyAlignment="1">
      <alignment horizontal="center" vertical="top" wrapText="1"/>
    </xf>
    <xf numFmtId="0" fontId="12" fillId="0" borderId="28" xfId="0" applyFont="1" applyBorder="1" applyAlignment="1">
      <alignment horizontal="center" vertical="top" wrapText="1"/>
    </xf>
    <xf numFmtId="0" fontId="11" fillId="0" borderId="12" xfId="0" applyFont="1" applyBorder="1" applyAlignment="1">
      <alignment horizontal="center" vertical="top" wrapText="1"/>
    </xf>
    <xf numFmtId="0" fontId="11" fillId="0" borderId="27" xfId="0" applyFont="1" applyBorder="1" applyAlignment="1">
      <alignment horizontal="center" vertical="top" wrapText="1"/>
    </xf>
    <xf numFmtId="0" fontId="11" fillId="0" borderId="28" xfId="0" applyFont="1" applyBorder="1" applyAlignment="1">
      <alignment horizontal="center" vertical="top" wrapText="1"/>
    </xf>
    <xf numFmtId="181" fontId="11" fillId="0" borderId="12" xfId="60" applyFont="1" applyBorder="1" applyAlignment="1">
      <alignment horizontal="right" vertical="top" wrapText="1"/>
    </xf>
    <xf numFmtId="181" fontId="11" fillId="0" borderId="28" xfId="60" applyFont="1" applyBorder="1" applyAlignment="1">
      <alignment horizontal="right" vertical="top" wrapText="1"/>
    </xf>
    <xf numFmtId="181" fontId="12" fillId="34" borderId="12" xfId="60" applyFont="1" applyFill="1" applyBorder="1" applyAlignment="1">
      <alignment horizontal="center" vertical="top" wrapText="1"/>
    </xf>
    <xf numFmtId="181" fontId="12" fillId="34" borderId="28" xfId="60" applyFont="1" applyFill="1" applyBorder="1" applyAlignment="1">
      <alignment horizontal="center" vertical="top" wrapText="1"/>
    </xf>
    <xf numFmtId="0" fontId="12" fillId="0" borderId="12" xfId="0" applyFont="1" applyBorder="1" applyAlignment="1">
      <alignment horizontal="right" vertical="top" wrapText="1"/>
    </xf>
    <xf numFmtId="0" fontId="12" fillId="0" borderId="28" xfId="0" applyFont="1" applyBorder="1" applyAlignment="1">
      <alignment horizontal="righ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0" xfId="0" applyFont="1" applyFill="1" applyAlignment="1">
      <alignment horizontal="left" vertical="top" wrapText="1"/>
    </xf>
    <xf numFmtId="0" fontId="11" fillId="0" borderId="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45"/>
  <sheetViews>
    <sheetView zoomScalePageLayoutView="0" workbookViewId="0" topLeftCell="A34">
      <selection activeCell="E37" sqref="E37"/>
    </sheetView>
  </sheetViews>
  <sheetFormatPr defaultColWidth="9.140625" defaultRowHeight="15"/>
  <cols>
    <col min="1" max="1" width="9.140625" style="354" customWidth="1"/>
    <col min="2" max="2" width="14.140625" style="354" customWidth="1"/>
    <col min="3" max="16384" width="9.140625" style="354" customWidth="1"/>
  </cols>
  <sheetData>
    <row r="1" spans="1:5" s="426" customFormat="1" ht="15">
      <c r="A1" s="426" t="s">
        <v>844</v>
      </c>
      <c r="E1" s="427"/>
    </row>
    <row r="2" ht="15" hidden="1"/>
    <row r="3" spans="1:2" ht="15" hidden="1">
      <c r="A3" s="356"/>
      <c r="B3" s="355"/>
    </row>
    <row r="4" ht="15" hidden="1">
      <c r="A4" s="354" t="s">
        <v>517</v>
      </c>
    </row>
    <row r="5" ht="15" hidden="1"/>
    <row r="6" ht="15" hidden="1">
      <c r="A6" s="356" t="s">
        <v>455</v>
      </c>
    </row>
    <row r="7" spans="1:10" ht="16.5" customHeight="1" hidden="1">
      <c r="A7" s="356">
        <v>211</v>
      </c>
      <c r="B7" s="355" t="s">
        <v>519</v>
      </c>
      <c r="C7" s="471" t="s">
        <v>518</v>
      </c>
      <c r="D7" s="471"/>
      <c r="E7" s="471"/>
      <c r="F7" s="471"/>
      <c r="G7" s="471"/>
      <c r="H7" s="471"/>
      <c r="I7" s="471"/>
      <c r="J7" s="471"/>
    </row>
    <row r="8" spans="1:10" ht="16.5" customHeight="1" hidden="1">
      <c r="A8" s="356">
        <v>213</v>
      </c>
      <c r="B8" s="355" t="s">
        <v>520</v>
      </c>
      <c r="C8" s="471" t="s">
        <v>516</v>
      </c>
      <c r="D8" s="471"/>
      <c r="E8" s="471"/>
      <c r="F8" s="471"/>
      <c r="G8" s="471"/>
      <c r="H8" s="471"/>
      <c r="I8" s="471"/>
      <c r="J8" s="471"/>
    </row>
    <row r="9" spans="1:9" ht="18" customHeight="1">
      <c r="A9" s="356"/>
      <c r="B9" s="355"/>
      <c r="C9" s="357"/>
      <c r="D9" s="357"/>
      <c r="E9" s="357"/>
      <c r="F9" s="357"/>
      <c r="G9" s="357"/>
      <c r="H9" s="357"/>
      <c r="I9" s="357"/>
    </row>
    <row r="10" spans="1:10" s="391" customFormat="1" ht="16.5" customHeight="1" hidden="1">
      <c r="A10" s="389"/>
      <c r="B10" s="390"/>
      <c r="C10" s="472"/>
      <c r="D10" s="472"/>
      <c r="E10" s="472"/>
      <c r="F10" s="472"/>
      <c r="G10" s="472"/>
      <c r="H10" s="472"/>
      <c r="I10" s="472"/>
      <c r="J10" s="472"/>
    </row>
    <row r="11" spans="1:2" ht="15" hidden="1">
      <c r="A11" s="356"/>
      <c r="B11" s="355"/>
    </row>
    <row r="12" ht="15" hidden="1"/>
    <row r="13" ht="15" customHeight="1"/>
    <row r="14" spans="1:10" ht="17.25" customHeight="1">
      <c r="A14" s="470" t="s">
        <v>931</v>
      </c>
      <c r="B14" s="470"/>
      <c r="C14" s="470"/>
      <c r="D14" s="470"/>
      <c r="E14" s="470"/>
      <c r="F14" s="470"/>
      <c r="G14" s="470"/>
      <c r="H14" s="357"/>
      <c r="I14" s="357"/>
      <c r="J14" s="357"/>
    </row>
    <row r="16" spans="1:15" ht="28.5" customHeight="1">
      <c r="A16" s="354">
        <v>211</v>
      </c>
      <c r="B16" s="425" t="s">
        <v>958</v>
      </c>
      <c r="C16" s="469" t="s">
        <v>955</v>
      </c>
      <c r="D16" s="469"/>
      <c r="E16" s="469"/>
      <c r="F16" s="469"/>
      <c r="G16" s="469"/>
      <c r="H16" s="469"/>
      <c r="I16" s="469"/>
      <c r="J16" s="469"/>
      <c r="K16" s="469"/>
      <c r="L16" s="469"/>
      <c r="M16" s="469"/>
      <c r="N16" s="469"/>
      <c r="O16" s="469"/>
    </row>
    <row r="17" spans="1:15" ht="28.5" customHeight="1">
      <c r="A17" s="354">
        <v>213</v>
      </c>
      <c r="B17" s="425" t="s">
        <v>959</v>
      </c>
      <c r="C17" s="469" t="s">
        <v>956</v>
      </c>
      <c r="D17" s="469"/>
      <c r="E17" s="469"/>
      <c r="F17" s="469"/>
      <c r="G17" s="469"/>
      <c r="H17" s="469"/>
      <c r="I17" s="469"/>
      <c r="J17" s="469"/>
      <c r="K17" s="469"/>
      <c r="L17" s="469"/>
      <c r="M17" s="469"/>
      <c r="N17" s="469"/>
      <c r="O17" s="469"/>
    </row>
    <row r="18" spans="1:15" ht="28.5" customHeight="1">
      <c r="A18" s="354">
        <v>266</v>
      </c>
      <c r="B18" s="425" t="s">
        <v>960</v>
      </c>
      <c r="C18" s="469" t="s">
        <v>957</v>
      </c>
      <c r="D18" s="469"/>
      <c r="E18" s="469"/>
      <c r="F18" s="469"/>
      <c r="G18" s="469"/>
      <c r="H18" s="469"/>
      <c r="I18" s="469"/>
      <c r="J18" s="469"/>
      <c r="K18" s="469"/>
      <c r="L18" s="469"/>
      <c r="M18" s="469"/>
      <c r="N18" s="469"/>
      <c r="O18" s="469"/>
    </row>
    <row r="19" spans="1:15" ht="41.25" customHeight="1">
      <c r="A19" s="354">
        <v>221</v>
      </c>
      <c r="B19" s="425" t="s">
        <v>935</v>
      </c>
      <c r="C19" s="469" t="s">
        <v>2</v>
      </c>
      <c r="D19" s="469"/>
      <c r="E19" s="469"/>
      <c r="F19" s="469"/>
      <c r="G19" s="469"/>
      <c r="H19" s="469"/>
      <c r="I19" s="469"/>
      <c r="J19" s="469"/>
      <c r="K19" s="469"/>
      <c r="L19" s="469"/>
      <c r="M19" s="469"/>
      <c r="N19" s="469"/>
      <c r="O19" s="469"/>
    </row>
    <row r="20" spans="1:15" ht="15" customHeight="1">
      <c r="A20" s="354">
        <v>342</v>
      </c>
      <c r="B20" s="425" t="s">
        <v>932</v>
      </c>
      <c r="C20" s="469" t="s">
        <v>359</v>
      </c>
      <c r="D20" s="469"/>
      <c r="E20" s="469"/>
      <c r="F20" s="469"/>
      <c r="G20" s="469"/>
      <c r="H20" s="469"/>
      <c r="I20" s="469"/>
      <c r="J20" s="469"/>
      <c r="K20" s="469"/>
      <c r="L20" s="469"/>
      <c r="M20" s="469"/>
      <c r="N20" s="469"/>
      <c r="O20" s="469"/>
    </row>
    <row r="21" spans="1:15" ht="28.5" customHeight="1" hidden="1">
      <c r="A21" s="354">
        <v>344</v>
      </c>
      <c r="B21" s="425" t="s">
        <v>933</v>
      </c>
      <c r="C21" s="469" t="s">
        <v>893</v>
      </c>
      <c r="D21" s="469"/>
      <c r="E21" s="469"/>
      <c r="F21" s="469"/>
      <c r="G21" s="469"/>
      <c r="H21" s="469"/>
      <c r="I21" s="469"/>
      <c r="J21" s="469"/>
      <c r="K21" s="469"/>
      <c r="L21" s="469"/>
      <c r="M21" s="469"/>
      <c r="N21" s="469"/>
      <c r="O21" s="469"/>
    </row>
    <row r="22" spans="1:15" ht="28.5" customHeight="1">
      <c r="A22" s="354">
        <v>346</v>
      </c>
      <c r="B22" s="425" t="s">
        <v>934</v>
      </c>
      <c r="C22" s="469" t="s">
        <v>801</v>
      </c>
      <c r="D22" s="469"/>
      <c r="E22" s="469"/>
      <c r="F22" s="469"/>
      <c r="G22" s="469"/>
      <c r="H22" s="469"/>
      <c r="I22" s="469"/>
      <c r="J22" s="469"/>
      <c r="K22" s="469"/>
      <c r="L22" s="469"/>
      <c r="M22" s="469"/>
      <c r="N22" s="469"/>
      <c r="O22" s="469"/>
    </row>
    <row r="23" spans="1:15" ht="40.5" customHeight="1">
      <c r="A23" s="354" t="s">
        <v>936</v>
      </c>
      <c r="B23" s="425" t="s">
        <v>947</v>
      </c>
      <c r="C23" s="469" t="s">
        <v>946</v>
      </c>
      <c r="D23" s="469"/>
      <c r="E23" s="469"/>
      <c r="F23" s="469"/>
      <c r="G23" s="469"/>
      <c r="H23" s="469"/>
      <c r="I23" s="469"/>
      <c r="J23" s="469"/>
      <c r="K23" s="469"/>
      <c r="L23" s="469"/>
      <c r="M23" s="469"/>
      <c r="N23" s="469"/>
      <c r="O23" s="469"/>
    </row>
    <row r="24" spans="1:15" ht="28.5" customHeight="1">
      <c r="A24" s="354">
        <v>225</v>
      </c>
      <c r="B24" s="425" t="s">
        <v>948</v>
      </c>
      <c r="C24" s="469" t="s">
        <v>338</v>
      </c>
      <c r="D24" s="469"/>
      <c r="E24" s="469"/>
      <c r="F24" s="469"/>
      <c r="G24" s="469"/>
      <c r="H24" s="469"/>
      <c r="I24" s="469"/>
      <c r="J24" s="469"/>
      <c r="K24" s="469"/>
      <c r="L24" s="469"/>
      <c r="M24" s="469"/>
      <c r="N24" s="469"/>
      <c r="O24" s="469"/>
    </row>
    <row r="26" ht="15" customHeight="1"/>
    <row r="27" spans="1:10" ht="17.25" customHeight="1">
      <c r="A27" s="466" t="s">
        <v>921</v>
      </c>
      <c r="B27" s="466"/>
      <c r="C27" s="466"/>
      <c r="D27" s="466"/>
      <c r="E27" s="466"/>
      <c r="F27" s="466"/>
      <c r="G27" s="466"/>
      <c r="H27" s="357"/>
      <c r="I27" s="357"/>
      <c r="J27" s="357"/>
    </row>
    <row r="29" spans="1:15" ht="28.5" customHeight="1">
      <c r="A29" s="354">
        <v>211</v>
      </c>
      <c r="B29" s="425" t="s">
        <v>949</v>
      </c>
      <c r="C29" s="469" t="s">
        <v>952</v>
      </c>
      <c r="D29" s="469"/>
      <c r="E29" s="469"/>
      <c r="F29" s="469"/>
      <c r="G29" s="469"/>
      <c r="H29" s="469"/>
      <c r="I29" s="469"/>
      <c r="J29" s="469"/>
      <c r="K29" s="469"/>
      <c r="L29" s="469"/>
      <c r="M29" s="469"/>
      <c r="N29" s="469"/>
      <c r="O29" s="469"/>
    </row>
    <row r="30" spans="1:15" ht="28.5" customHeight="1">
      <c r="A30" s="354">
        <v>213</v>
      </c>
      <c r="B30" s="425" t="s">
        <v>950</v>
      </c>
      <c r="C30" s="469" t="s">
        <v>953</v>
      </c>
      <c r="D30" s="469"/>
      <c r="E30" s="469"/>
      <c r="F30" s="469"/>
      <c r="G30" s="469"/>
      <c r="H30" s="469"/>
      <c r="I30" s="469"/>
      <c r="J30" s="469"/>
      <c r="K30" s="469"/>
      <c r="L30" s="469"/>
      <c r="M30" s="469"/>
      <c r="N30" s="469"/>
      <c r="O30" s="469"/>
    </row>
    <row r="31" spans="1:15" ht="28.5" customHeight="1">
      <c r="A31" s="354">
        <v>266</v>
      </c>
      <c r="B31" s="425" t="s">
        <v>951</v>
      </c>
      <c r="C31" s="469" t="s">
        <v>954</v>
      </c>
      <c r="D31" s="469"/>
      <c r="E31" s="469"/>
      <c r="F31" s="469"/>
      <c r="G31" s="469"/>
      <c r="H31" s="469"/>
      <c r="I31" s="469"/>
      <c r="J31" s="469"/>
      <c r="K31" s="469"/>
      <c r="L31" s="469"/>
      <c r="M31" s="469"/>
      <c r="N31" s="469"/>
      <c r="O31" s="469"/>
    </row>
    <row r="33" spans="1:10" ht="17.25" customHeight="1">
      <c r="A33" s="470" t="s">
        <v>928</v>
      </c>
      <c r="B33" s="470"/>
      <c r="C33" s="470"/>
      <c r="D33" s="470"/>
      <c r="E33" s="470"/>
      <c r="F33" s="470"/>
      <c r="G33" s="470"/>
      <c r="H33" s="357"/>
      <c r="I33" s="357"/>
      <c r="J33" s="357"/>
    </row>
    <row r="35" spans="1:15" ht="28.5" customHeight="1">
      <c r="A35" s="354">
        <v>130</v>
      </c>
      <c r="B35" s="425" t="s">
        <v>942</v>
      </c>
      <c r="C35" s="469" t="s">
        <v>678</v>
      </c>
      <c r="D35" s="469"/>
      <c r="E35" s="469"/>
      <c r="F35" s="469"/>
      <c r="G35" s="469"/>
      <c r="H35" s="469"/>
      <c r="I35" s="469"/>
      <c r="J35" s="469"/>
      <c r="K35" s="469"/>
      <c r="L35" s="469"/>
      <c r="M35" s="469"/>
      <c r="N35" s="469"/>
      <c r="O35" s="469"/>
    </row>
    <row r="36" spans="1:15" ht="28.5" customHeight="1">
      <c r="A36" s="354">
        <v>150</v>
      </c>
      <c r="B36" s="425" t="s">
        <v>943</v>
      </c>
      <c r="C36" s="469" t="s">
        <v>307</v>
      </c>
      <c r="D36" s="469"/>
      <c r="E36" s="469"/>
      <c r="F36" s="469"/>
      <c r="G36" s="469"/>
      <c r="H36" s="469"/>
      <c r="I36" s="469"/>
      <c r="J36" s="469"/>
      <c r="K36" s="469"/>
      <c r="L36" s="469"/>
      <c r="M36" s="469"/>
      <c r="N36" s="469"/>
      <c r="O36" s="469"/>
    </row>
    <row r="37" ht="43.5" customHeight="1"/>
    <row r="38" spans="1:15" ht="28.5" customHeight="1">
      <c r="A38" s="354">
        <v>211</v>
      </c>
      <c r="B38" s="425" t="s">
        <v>944</v>
      </c>
      <c r="C38" s="469" t="s">
        <v>532</v>
      </c>
      <c r="D38" s="469"/>
      <c r="E38" s="469"/>
      <c r="F38" s="469"/>
      <c r="G38" s="469"/>
      <c r="H38" s="469"/>
      <c r="I38" s="469"/>
      <c r="J38" s="469"/>
      <c r="K38" s="469"/>
      <c r="L38" s="469"/>
      <c r="M38" s="469"/>
      <c r="N38" s="469"/>
      <c r="O38" s="469"/>
    </row>
    <row r="39" spans="1:15" ht="28.5" customHeight="1">
      <c r="A39" s="354">
        <v>225</v>
      </c>
      <c r="B39" s="425" t="s">
        <v>941</v>
      </c>
      <c r="C39" s="469" t="s">
        <v>532</v>
      </c>
      <c r="D39" s="469"/>
      <c r="E39" s="469"/>
      <c r="F39" s="469"/>
      <c r="G39" s="469"/>
      <c r="H39" s="469"/>
      <c r="I39" s="469"/>
      <c r="J39" s="469"/>
      <c r="K39" s="469"/>
      <c r="L39" s="469"/>
      <c r="M39" s="469"/>
      <c r="N39" s="469"/>
      <c r="O39" s="469"/>
    </row>
    <row r="40" spans="1:15" ht="28.5" customHeight="1">
      <c r="A40" s="354">
        <v>226</v>
      </c>
      <c r="B40" s="425" t="s">
        <v>937</v>
      </c>
      <c r="C40" s="469" t="s">
        <v>595</v>
      </c>
      <c r="D40" s="469"/>
      <c r="E40" s="469"/>
      <c r="F40" s="469"/>
      <c r="G40" s="469"/>
      <c r="H40" s="469"/>
      <c r="I40" s="469"/>
      <c r="J40" s="469"/>
      <c r="K40" s="469"/>
      <c r="L40" s="469"/>
      <c r="M40" s="469"/>
      <c r="N40" s="469"/>
      <c r="O40" s="469"/>
    </row>
    <row r="41" spans="1:15" ht="28.5" customHeight="1">
      <c r="A41" s="354">
        <v>344</v>
      </c>
      <c r="B41" s="425" t="s">
        <v>945</v>
      </c>
      <c r="C41" s="469" t="s">
        <v>786</v>
      </c>
      <c r="D41" s="469"/>
      <c r="E41" s="469"/>
      <c r="F41" s="469"/>
      <c r="G41" s="469"/>
      <c r="H41" s="469"/>
      <c r="I41" s="469"/>
      <c r="J41" s="469"/>
      <c r="K41" s="469"/>
      <c r="L41" s="469"/>
      <c r="M41" s="469"/>
      <c r="N41" s="469"/>
      <c r="O41" s="469"/>
    </row>
    <row r="42" ht="53.25" customHeight="1"/>
    <row r="43" spans="1:5" ht="15">
      <c r="A43" s="473" t="s">
        <v>790</v>
      </c>
      <c r="B43" s="473"/>
      <c r="C43" s="449"/>
      <c r="D43" s="449"/>
      <c r="E43" s="354" t="s">
        <v>791</v>
      </c>
    </row>
    <row r="44" spans="3:4" ht="15">
      <c r="C44" s="450"/>
      <c r="D44" s="450"/>
    </row>
    <row r="45" spans="1:5" ht="15">
      <c r="A45" s="354" t="s">
        <v>437</v>
      </c>
      <c r="C45" s="449"/>
      <c r="D45" s="449"/>
      <c r="E45" s="354" t="s">
        <v>792</v>
      </c>
    </row>
  </sheetData>
  <sheetProtection/>
  <mergeCells count="24">
    <mergeCell ref="C7:J7"/>
    <mergeCell ref="C8:J8"/>
    <mergeCell ref="C10:J10"/>
    <mergeCell ref="A43:B43"/>
    <mergeCell ref="A14:G14"/>
    <mergeCell ref="C19:O19"/>
    <mergeCell ref="C16:O16"/>
    <mergeCell ref="C17:O17"/>
    <mergeCell ref="C18:O18"/>
    <mergeCell ref="C29:O29"/>
    <mergeCell ref="C20:O20"/>
    <mergeCell ref="C21:O21"/>
    <mergeCell ref="C22:O22"/>
    <mergeCell ref="C23:O23"/>
    <mergeCell ref="C24:O24"/>
    <mergeCell ref="C31:O31"/>
    <mergeCell ref="C30:O30"/>
    <mergeCell ref="C41:O41"/>
    <mergeCell ref="A33:G33"/>
    <mergeCell ref="C40:O40"/>
    <mergeCell ref="C39:O39"/>
    <mergeCell ref="C35:O35"/>
    <mergeCell ref="C36:O36"/>
    <mergeCell ref="C38:O38"/>
  </mergeCells>
  <printOptions/>
  <pageMargins left="0.7" right="0.7" top="0.75" bottom="0.75" header="0.3" footer="0.3"/>
  <pageSetup fitToHeight="1"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K142"/>
  <sheetViews>
    <sheetView view="pageBreakPreview" zoomScaleSheetLayoutView="100" zoomScalePageLayoutView="0" workbookViewId="0" topLeftCell="A22">
      <selection activeCell="B62" sqref="B31:H62"/>
    </sheetView>
  </sheetViews>
  <sheetFormatPr defaultColWidth="9.140625" defaultRowHeight="15"/>
  <cols>
    <col min="1" max="1" width="4.8515625" style="131" customWidth="1"/>
    <col min="2" max="2" width="15.140625" style="147" customWidth="1"/>
    <col min="3" max="3" width="22.421875" style="147" customWidth="1"/>
    <col min="4" max="4" width="20.28125" style="147" customWidth="1"/>
    <col min="5" max="5" width="19.7109375" style="147" customWidth="1"/>
    <col min="6" max="6" width="16.8515625" style="147" customWidth="1"/>
    <col min="7" max="7" width="17.7109375" style="437" customWidth="1"/>
    <col min="8" max="8" width="16.140625" style="131" customWidth="1"/>
    <col min="9" max="9" width="13.421875" style="6" bestFit="1" customWidth="1"/>
    <col min="10" max="10" width="15.421875" style="6" bestFit="1" customWidth="1"/>
    <col min="11" max="11" width="13.140625" style="6" bestFit="1" customWidth="1"/>
    <col min="12" max="16384" width="9.140625" style="6" customWidth="1"/>
  </cols>
  <sheetData>
    <row r="1" spans="7:8" ht="15" hidden="1">
      <c r="G1" s="589" t="s">
        <v>217</v>
      </c>
      <c r="H1" s="589"/>
    </row>
    <row r="2" spans="2:8" ht="15.75" customHeight="1" hidden="1">
      <c r="B2" s="131"/>
      <c r="C2" s="131"/>
      <c r="D2" s="131"/>
      <c r="E2" s="131"/>
      <c r="F2" s="590" t="s">
        <v>218</v>
      </c>
      <c r="G2" s="590"/>
      <c r="H2" s="590"/>
    </row>
    <row r="3" spans="2:8" ht="15" hidden="1">
      <c r="B3" s="131"/>
      <c r="C3" s="131"/>
      <c r="D3" s="131"/>
      <c r="E3" s="131"/>
      <c r="F3" s="590"/>
      <c r="G3" s="590"/>
      <c r="H3" s="590"/>
    </row>
    <row r="4" spans="2:8" ht="49.5" customHeight="1" hidden="1">
      <c r="B4" s="131"/>
      <c r="C4" s="131"/>
      <c r="D4" s="131"/>
      <c r="E4" s="131"/>
      <c r="F4" s="590"/>
      <c r="G4" s="590"/>
      <c r="H4" s="590"/>
    </row>
    <row r="5" spans="2:8" ht="14.25" customHeight="1">
      <c r="B5" s="131"/>
      <c r="C5" s="131"/>
      <c r="D5" s="131"/>
      <c r="E5" s="131"/>
      <c r="F5" s="148"/>
      <c r="G5" s="361"/>
      <c r="H5" s="265" t="str">
        <f>'Пр.1Титульный лист'!L15</f>
        <v>22.12.2023</v>
      </c>
    </row>
    <row r="6" spans="2:8" ht="15">
      <c r="B6" s="577" t="s">
        <v>712</v>
      </c>
      <c r="C6" s="577"/>
      <c r="D6" s="577"/>
      <c r="E6" s="577"/>
      <c r="F6" s="577"/>
      <c r="G6" s="577"/>
      <c r="H6" s="577"/>
    </row>
    <row r="7" spans="2:8" ht="15">
      <c r="B7" s="577" t="s">
        <v>13</v>
      </c>
      <c r="C7" s="577"/>
      <c r="D7" s="577"/>
      <c r="E7" s="577"/>
      <c r="F7" s="577"/>
      <c r="G7" s="577"/>
      <c r="H7" s="577"/>
    </row>
    <row r="8" spans="2:8" ht="15">
      <c r="B8" s="591" t="s">
        <v>799</v>
      </c>
      <c r="C8" s="577"/>
      <c r="D8" s="577"/>
      <c r="E8" s="577"/>
      <c r="F8" s="577"/>
      <c r="G8" s="577"/>
      <c r="H8" s="577"/>
    </row>
    <row r="9" spans="2:8" ht="16.5" customHeight="1">
      <c r="B9" s="594" t="s">
        <v>815</v>
      </c>
      <c r="C9" s="594"/>
      <c r="D9" s="594"/>
      <c r="E9" s="594"/>
      <c r="F9" s="594"/>
      <c r="G9" s="594"/>
      <c r="H9" s="594"/>
    </row>
    <row r="10" spans="2:8" ht="15">
      <c r="B10" s="577" t="s">
        <v>259</v>
      </c>
      <c r="C10" s="577"/>
      <c r="D10" s="577"/>
      <c r="E10" s="577"/>
      <c r="F10" s="577"/>
      <c r="G10" s="577"/>
      <c r="H10" s="577"/>
    </row>
    <row r="11" spans="2:8" ht="15">
      <c r="B11" s="595" t="s">
        <v>219</v>
      </c>
      <c r="C11" s="595"/>
      <c r="D11" s="595"/>
      <c r="E11" s="595"/>
      <c r="F11" s="595"/>
      <c r="G11" s="595"/>
      <c r="H11" s="595"/>
    </row>
    <row r="12" spans="2:8" ht="15">
      <c r="B12" s="577" t="s">
        <v>439</v>
      </c>
      <c r="C12" s="577"/>
      <c r="D12" s="577"/>
      <c r="E12" s="577"/>
      <c r="F12" s="577"/>
      <c r="G12" s="577"/>
      <c r="H12" s="577"/>
    </row>
    <row r="13" spans="2:11" ht="48" customHeight="1">
      <c r="B13" s="592" t="s">
        <v>324</v>
      </c>
      <c r="C13" s="593"/>
      <c r="D13" s="592" t="s">
        <v>19</v>
      </c>
      <c r="E13" s="593"/>
      <c r="F13" s="592" t="s">
        <v>325</v>
      </c>
      <c r="G13" s="593"/>
      <c r="H13" s="596" t="s">
        <v>326</v>
      </c>
      <c r="J13" s="245"/>
      <c r="K13" s="245"/>
    </row>
    <row r="14" spans="2:8" ht="15">
      <c r="B14" s="152" t="s">
        <v>16</v>
      </c>
      <c r="C14" s="152" t="s">
        <v>17</v>
      </c>
      <c r="D14" s="152" t="s">
        <v>16</v>
      </c>
      <c r="E14" s="152" t="s">
        <v>17</v>
      </c>
      <c r="F14" s="152" t="s">
        <v>16</v>
      </c>
      <c r="G14" s="321" t="s">
        <v>17</v>
      </c>
      <c r="H14" s="597"/>
    </row>
    <row r="15" spans="2:8" ht="15">
      <c r="B15" s="152">
        <v>1</v>
      </c>
      <c r="C15" s="152">
        <v>2</v>
      </c>
      <c r="D15" s="152">
        <v>3</v>
      </c>
      <c r="E15" s="152">
        <v>4</v>
      </c>
      <c r="F15" s="152">
        <v>5</v>
      </c>
      <c r="G15" s="321">
        <v>6</v>
      </c>
      <c r="H15" s="153">
        <v>7</v>
      </c>
    </row>
    <row r="16" spans="2:10" ht="17.25" customHeight="1">
      <c r="B16" s="257">
        <f>C16/12</f>
        <v>40002.56</v>
      </c>
      <c r="C16" s="257">
        <v>480030.72</v>
      </c>
      <c r="D16" s="258">
        <f>H16/12</f>
        <v>40002.56</v>
      </c>
      <c r="E16" s="258">
        <f>H16</f>
        <v>480030.72</v>
      </c>
      <c r="F16" s="258">
        <f>G16/12</f>
        <v>40002.56</v>
      </c>
      <c r="G16" s="258">
        <v>480030.72</v>
      </c>
      <c r="H16" s="259">
        <v>480030.72</v>
      </c>
      <c r="I16" s="245"/>
      <c r="J16" s="245"/>
    </row>
    <row r="17" spans="2:10" ht="15">
      <c r="B17" s="598" t="s">
        <v>233</v>
      </c>
      <c r="C17" s="599"/>
      <c r="D17" s="599"/>
      <c r="E17" s="599"/>
      <c r="F17" s="599"/>
      <c r="G17" s="600"/>
      <c r="H17" s="157">
        <f>H16</f>
        <v>480030.72</v>
      </c>
      <c r="I17" s="245"/>
      <c r="J17" s="245"/>
    </row>
    <row r="18" spans="2:8" ht="72.75" customHeight="1">
      <c r="B18" s="604" t="s">
        <v>262</v>
      </c>
      <c r="C18" s="604"/>
      <c r="D18" s="604"/>
      <c r="E18" s="604"/>
      <c r="F18" s="604"/>
      <c r="G18" s="604"/>
      <c r="H18" s="166"/>
    </row>
    <row r="19" spans="2:7" ht="62.25">
      <c r="B19" s="50" t="s">
        <v>33</v>
      </c>
      <c r="C19" s="533" t="s">
        <v>21</v>
      </c>
      <c r="D19" s="534"/>
      <c r="E19" s="535"/>
      <c r="F19" s="50" t="s">
        <v>22</v>
      </c>
      <c r="G19" s="431" t="s">
        <v>23</v>
      </c>
    </row>
    <row r="20" spans="2:7" ht="15">
      <c r="B20" s="118">
        <v>1</v>
      </c>
      <c r="C20" s="605">
        <v>2</v>
      </c>
      <c r="D20" s="606"/>
      <c r="E20" s="607"/>
      <c r="F20" s="118">
        <v>3</v>
      </c>
      <c r="G20" s="363">
        <v>4</v>
      </c>
    </row>
    <row r="21" spans="2:7" ht="32.25" customHeight="1">
      <c r="B21" s="118">
        <v>1</v>
      </c>
      <c r="C21" s="609" t="s">
        <v>34</v>
      </c>
      <c r="D21" s="610"/>
      <c r="E21" s="611"/>
      <c r="F21" s="118" t="s">
        <v>35</v>
      </c>
      <c r="G21" s="364">
        <f>SUM(G22:G24)</f>
        <v>105606.75839999999</v>
      </c>
    </row>
    <row r="22" spans="2:7" ht="15">
      <c r="B22" s="118" t="s">
        <v>24</v>
      </c>
      <c r="C22" s="609" t="s">
        <v>36</v>
      </c>
      <c r="D22" s="610"/>
      <c r="E22" s="611"/>
      <c r="F22" s="159">
        <f>H17</f>
        <v>480030.72</v>
      </c>
      <c r="G22" s="364">
        <f>F22*22%</f>
        <v>105606.75839999999</v>
      </c>
    </row>
    <row r="23" spans="2:7" ht="15" hidden="1">
      <c r="B23" s="160" t="s">
        <v>25</v>
      </c>
      <c r="C23" s="609" t="s">
        <v>37</v>
      </c>
      <c r="D23" s="610"/>
      <c r="E23" s="611"/>
      <c r="F23" s="159"/>
      <c r="G23" s="364"/>
    </row>
    <row r="24" spans="2:7" ht="50.25" customHeight="1" hidden="1">
      <c r="B24" s="118" t="s">
        <v>26</v>
      </c>
      <c r="C24" s="609" t="s">
        <v>77</v>
      </c>
      <c r="D24" s="610"/>
      <c r="E24" s="611"/>
      <c r="F24" s="159"/>
      <c r="G24" s="364"/>
    </row>
    <row r="25" spans="2:7" ht="33" customHeight="1">
      <c r="B25" s="118">
        <v>2</v>
      </c>
      <c r="C25" s="609" t="s">
        <v>27</v>
      </c>
      <c r="D25" s="610"/>
      <c r="E25" s="611"/>
      <c r="F25" s="118" t="s">
        <v>35</v>
      </c>
      <c r="G25" s="364">
        <f>SUM(G26:G30)</f>
        <v>14880.952319999999</v>
      </c>
    </row>
    <row r="26" spans="2:7" ht="38.25" customHeight="1">
      <c r="B26" s="118" t="s">
        <v>28</v>
      </c>
      <c r="C26" s="609" t="s">
        <v>78</v>
      </c>
      <c r="D26" s="610"/>
      <c r="E26" s="611"/>
      <c r="F26" s="159">
        <f>F22</f>
        <v>480030.72</v>
      </c>
      <c r="G26" s="364">
        <f>F26*2.9%</f>
        <v>13920.890879999999</v>
      </c>
    </row>
    <row r="27" spans="2:7" ht="33" customHeight="1" hidden="1">
      <c r="B27" s="118" t="s">
        <v>29</v>
      </c>
      <c r="C27" s="609" t="s">
        <v>79</v>
      </c>
      <c r="D27" s="610"/>
      <c r="E27" s="611"/>
      <c r="F27" s="159"/>
      <c r="G27" s="364"/>
    </row>
    <row r="28" spans="2:7" ht="48" customHeight="1">
      <c r="B28" s="118" t="s">
        <v>29</v>
      </c>
      <c r="C28" s="609" t="s">
        <v>76</v>
      </c>
      <c r="D28" s="610"/>
      <c r="E28" s="611"/>
      <c r="F28" s="159">
        <f>F26</f>
        <v>480030.72</v>
      </c>
      <c r="G28" s="364">
        <f>F28*0.2%</f>
        <v>960.06144</v>
      </c>
    </row>
    <row r="29" spans="2:7" ht="46.5" customHeight="1" hidden="1">
      <c r="B29" s="118" t="s">
        <v>31</v>
      </c>
      <c r="C29" s="609" t="s">
        <v>80</v>
      </c>
      <c r="D29" s="610"/>
      <c r="E29" s="611"/>
      <c r="F29" s="159"/>
      <c r="G29" s="364"/>
    </row>
    <row r="30" spans="2:7" ht="45" customHeight="1" hidden="1">
      <c r="B30" s="118" t="s">
        <v>32</v>
      </c>
      <c r="C30" s="609" t="s">
        <v>80</v>
      </c>
      <c r="D30" s="610"/>
      <c r="E30" s="611"/>
      <c r="F30" s="159"/>
      <c r="G30" s="364"/>
    </row>
    <row r="31" spans="2:7" ht="38.25" customHeight="1">
      <c r="B31" s="118" t="s">
        <v>38</v>
      </c>
      <c r="C31" s="609" t="s">
        <v>39</v>
      </c>
      <c r="D31" s="610"/>
      <c r="E31" s="611"/>
      <c r="F31" s="159">
        <f>F28</f>
        <v>480030.72</v>
      </c>
      <c r="G31" s="364">
        <f>F31*5.1%</f>
        <v>24481.566719999995</v>
      </c>
    </row>
    <row r="32" spans="2:7" ht="16.5" customHeight="1">
      <c r="B32" s="574" t="s">
        <v>72</v>
      </c>
      <c r="C32" s="575"/>
      <c r="D32" s="575"/>
      <c r="E32" s="576"/>
      <c r="F32" s="118" t="s">
        <v>35</v>
      </c>
      <c r="G32" s="365">
        <f>G21+G25+G31</f>
        <v>144969.27743999998</v>
      </c>
    </row>
    <row r="33" ht="8.25" customHeight="1" hidden="1"/>
    <row r="34" spans="2:7" ht="17.25" customHeight="1" hidden="1">
      <c r="B34" s="559" t="s">
        <v>263</v>
      </c>
      <c r="C34" s="559"/>
      <c r="D34" s="559"/>
      <c r="E34" s="559"/>
      <c r="F34" s="559"/>
      <c r="G34" s="559"/>
    </row>
    <row r="35" spans="2:7" ht="10.5" customHeight="1" hidden="1">
      <c r="B35" s="163"/>
      <c r="C35" s="163"/>
      <c r="D35" s="163"/>
      <c r="E35" s="163"/>
      <c r="F35" s="163"/>
      <c r="G35" s="367"/>
    </row>
    <row r="36" spans="2:7" ht="11.25" customHeight="1" hidden="1">
      <c r="B36" s="608" t="s">
        <v>220</v>
      </c>
      <c r="C36" s="608"/>
      <c r="D36" s="608"/>
      <c r="E36" s="608"/>
      <c r="F36" s="608"/>
      <c r="G36" s="608"/>
    </row>
    <row r="37" spans="2:7" ht="9.75" customHeight="1" hidden="1">
      <c r="B37" s="163"/>
      <c r="C37" s="165"/>
      <c r="D37" s="163"/>
      <c r="E37" s="163"/>
      <c r="F37" s="163"/>
      <c r="G37" s="438"/>
    </row>
    <row r="38" spans="2:8" ht="3.75" customHeight="1" hidden="1">
      <c r="B38" s="50" t="s">
        <v>33</v>
      </c>
      <c r="C38" s="530" t="s">
        <v>40</v>
      </c>
      <c r="D38" s="530"/>
      <c r="E38" s="530"/>
      <c r="F38" s="50" t="s">
        <v>41</v>
      </c>
      <c r="G38" s="431" t="s">
        <v>42</v>
      </c>
      <c r="H38" s="50" t="s">
        <v>43</v>
      </c>
    </row>
    <row r="39" spans="2:8" ht="3" customHeight="1" hidden="1">
      <c r="B39" s="50">
        <v>1</v>
      </c>
      <c r="C39" s="530">
        <v>2</v>
      </c>
      <c r="D39" s="530"/>
      <c r="E39" s="530"/>
      <c r="F39" s="50">
        <v>3</v>
      </c>
      <c r="G39" s="431">
        <v>4</v>
      </c>
      <c r="H39" s="50">
        <v>5</v>
      </c>
    </row>
    <row r="40" spans="2:8" ht="9" customHeight="1" hidden="1">
      <c r="B40" s="50">
        <v>1</v>
      </c>
      <c r="C40" s="567" t="s">
        <v>328</v>
      </c>
      <c r="D40" s="567"/>
      <c r="E40" s="567"/>
      <c r="F40" s="216" t="s">
        <v>330</v>
      </c>
      <c r="G40" s="369" t="s">
        <v>330</v>
      </c>
      <c r="H40" s="123">
        <f>14990-7.4-14982.6</f>
        <v>0</v>
      </c>
    </row>
    <row r="41" spans="2:8" ht="6" customHeight="1" hidden="1">
      <c r="B41" s="50">
        <v>1</v>
      </c>
      <c r="C41" s="567" t="s">
        <v>329</v>
      </c>
      <c r="D41" s="567"/>
      <c r="E41" s="567"/>
      <c r="F41" s="216">
        <v>151.98</v>
      </c>
      <c r="G41" s="369">
        <v>32.9</v>
      </c>
      <c r="H41" s="123">
        <v>0</v>
      </c>
    </row>
    <row r="42" spans="2:8" ht="3" customHeight="1" hidden="1">
      <c r="B42" s="50">
        <v>4</v>
      </c>
      <c r="C42" s="567" t="s">
        <v>489</v>
      </c>
      <c r="D42" s="567"/>
      <c r="E42" s="567"/>
      <c r="F42" s="216" t="s">
        <v>330</v>
      </c>
      <c r="G42" s="369" t="s">
        <v>330</v>
      </c>
      <c r="H42" s="123">
        <f>7.4-7.4</f>
        <v>0</v>
      </c>
    </row>
    <row r="43" spans="1:8" s="7" customFormat="1" ht="4.5" customHeight="1" hidden="1">
      <c r="A43" s="166"/>
      <c r="B43" s="541" t="s">
        <v>223</v>
      </c>
      <c r="C43" s="541"/>
      <c r="D43" s="541"/>
      <c r="E43" s="541"/>
      <c r="F43" s="541"/>
      <c r="G43" s="541"/>
      <c r="H43" s="167">
        <f>SUM(H40:H42)</f>
        <v>0</v>
      </c>
    </row>
    <row r="44" ht="3" customHeight="1"/>
    <row r="45" spans="2:7" ht="15" hidden="1">
      <c r="B45" s="622" t="s">
        <v>263</v>
      </c>
      <c r="C45" s="622"/>
      <c r="D45" s="622"/>
      <c r="E45" s="622"/>
      <c r="F45" s="622"/>
      <c r="G45" s="622"/>
    </row>
    <row r="46" spans="2:7" ht="15" hidden="1">
      <c r="B46" s="608" t="s">
        <v>505</v>
      </c>
      <c r="C46" s="608"/>
      <c r="D46" s="608"/>
      <c r="E46" s="608"/>
      <c r="F46" s="608"/>
      <c r="G46" s="608"/>
    </row>
    <row r="47" spans="2:7" ht="1.5" customHeight="1" hidden="1">
      <c r="B47" s="163"/>
      <c r="C47" s="165"/>
      <c r="D47" s="163"/>
      <c r="E47" s="163"/>
      <c r="F47" s="163"/>
      <c r="G47" s="438"/>
    </row>
    <row r="48" spans="2:7" ht="74.25" customHeight="1" hidden="1">
      <c r="B48" s="50" t="s">
        <v>33</v>
      </c>
      <c r="C48" s="530" t="s">
        <v>40</v>
      </c>
      <c r="D48" s="530"/>
      <c r="E48" s="50" t="s">
        <v>41</v>
      </c>
      <c r="F48" s="50" t="s">
        <v>42</v>
      </c>
      <c r="G48" s="431" t="s">
        <v>43</v>
      </c>
    </row>
    <row r="49" spans="2:7" ht="15" hidden="1">
      <c r="B49" s="50">
        <v>1</v>
      </c>
      <c r="C49" s="609" t="s">
        <v>322</v>
      </c>
      <c r="D49" s="611"/>
      <c r="E49" s="238">
        <f>G49/F49%</f>
        <v>0</v>
      </c>
      <c r="F49" s="50">
        <v>2.2</v>
      </c>
      <c r="G49" s="433">
        <v>0</v>
      </c>
    </row>
    <row r="50" spans="2:7" ht="1.5" customHeight="1" hidden="1">
      <c r="B50" s="50">
        <v>1</v>
      </c>
      <c r="C50" s="609" t="s">
        <v>593</v>
      </c>
      <c r="D50" s="611"/>
      <c r="E50" s="238">
        <f>G50/F50%</f>
        <v>0</v>
      </c>
      <c r="F50" s="50">
        <v>2.2</v>
      </c>
      <c r="G50" s="433">
        <v>0</v>
      </c>
    </row>
    <row r="51" spans="2:7" ht="33" customHeight="1" hidden="1">
      <c r="B51" s="50">
        <v>2</v>
      </c>
      <c r="C51" s="609" t="s">
        <v>613</v>
      </c>
      <c r="D51" s="611"/>
      <c r="E51" s="238"/>
      <c r="F51" s="50"/>
      <c r="G51" s="433">
        <v>0</v>
      </c>
    </row>
    <row r="52" spans="2:7" ht="73.5" customHeight="1" hidden="1">
      <c r="B52" s="50">
        <v>1</v>
      </c>
      <c r="C52" s="609" t="s">
        <v>658</v>
      </c>
      <c r="D52" s="611"/>
      <c r="E52" s="238"/>
      <c r="F52" s="50"/>
      <c r="G52" s="433">
        <v>0</v>
      </c>
    </row>
    <row r="53" spans="2:7" ht="73.5" customHeight="1" hidden="1">
      <c r="B53" s="50">
        <v>4</v>
      </c>
      <c r="C53" s="609" t="s">
        <v>629</v>
      </c>
      <c r="D53" s="611"/>
      <c r="E53" s="238"/>
      <c r="F53" s="50"/>
      <c r="G53" s="433">
        <v>0</v>
      </c>
    </row>
    <row r="54" spans="1:8" s="7" customFormat="1" ht="15" hidden="1">
      <c r="A54" s="166"/>
      <c r="B54" s="585" t="s">
        <v>223</v>
      </c>
      <c r="C54" s="586"/>
      <c r="D54" s="587"/>
      <c r="E54" s="25"/>
      <c r="F54" s="122"/>
      <c r="G54" s="370">
        <f>SUM(G49:G53)</f>
        <v>0</v>
      </c>
      <c r="H54" s="166"/>
    </row>
    <row r="55" spans="1:9" ht="15">
      <c r="A55" s="6"/>
      <c r="H55" s="266" t="str">
        <f>'Пр.1Титульный лист'!L15</f>
        <v>22.12.2023</v>
      </c>
      <c r="I55" s="245"/>
    </row>
    <row r="56" spans="1:8" ht="15">
      <c r="A56" s="6"/>
      <c r="B56" s="577" t="s">
        <v>712</v>
      </c>
      <c r="C56" s="577"/>
      <c r="D56" s="577"/>
      <c r="E56" s="577"/>
      <c r="F56" s="577"/>
      <c r="G56" s="577"/>
      <c r="H56" s="577"/>
    </row>
    <row r="57" spans="1:8" ht="15">
      <c r="A57" s="6"/>
      <c r="B57" s="577" t="s">
        <v>13</v>
      </c>
      <c r="C57" s="577"/>
      <c r="D57" s="577"/>
      <c r="E57" s="577"/>
      <c r="F57" s="577"/>
      <c r="G57" s="577"/>
      <c r="H57" s="577"/>
    </row>
    <row r="58" spans="1:8" ht="15">
      <c r="A58" s="6"/>
      <c r="B58" s="591" t="s">
        <v>663</v>
      </c>
      <c r="C58" s="591"/>
      <c r="D58" s="591"/>
      <c r="E58" s="591"/>
      <c r="F58" s="591"/>
      <c r="G58" s="591"/>
      <c r="H58" s="591"/>
    </row>
    <row r="59" spans="1:8" ht="15">
      <c r="A59" s="6"/>
      <c r="B59" s="594" t="s">
        <v>816</v>
      </c>
      <c r="C59" s="594"/>
      <c r="D59" s="594"/>
      <c r="E59" s="594"/>
      <c r="F59" s="594"/>
      <c r="G59" s="594"/>
      <c r="H59" s="594"/>
    </row>
    <row r="60" spans="1:8" ht="15">
      <c r="A60" s="6"/>
      <c r="B60" s="577" t="s">
        <v>259</v>
      </c>
      <c r="C60" s="577"/>
      <c r="D60" s="577"/>
      <c r="E60" s="577"/>
      <c r="F60" s="577"/>
      <c r="G60" s="577"/>
      <c r="H60" s="577"/>
    </row>
    <row r="61" spans="1:8" ht="15">
      <c r="A61" s="6"/>
      <c r="B61" s="595" t="s">
        <v>219</v>
      </c>
      <c r="C61" s="595"/>
      <c r="D61" s="595"/>
      <c r="E61" s="595"/>
      <c r="F61" s="595"/>
      <c r="G61" s="595"/>
      <c r="H61" s="595"/>
    </row>
    <row r="62" spans="1:8" ht="15">
      <c r="A62" s="6"/>
      <c r="B62" s="625" t="s">
        <v>439</v>
      </c>
      <c r="C62" s="625"/>
      <c r="D62" s="625"/>
      <c r="E62" s="625"/>
      <c r="F62" s="625"/>
      <c r="G62" s="625"/>
      <c r="H62" s="625"/>
    </row>
    <row r="63" spans="2:8" ht="15">
      <c r="B63" s="592" t="s">
        <v>324</v>
      </c>
      <c r="C63" s="593"/>
      <c r="D63" s="592" t="s">
        <v>19</v>
      </c>
      <c r="E63" s="593"/>
      <c r="F63" s="592" t="s">
        <v>325</v>
      </c>
      <c r="G63" s="593"/>
      <c r="H63" s="596" t="s">
        <v>326</v>
      </c>
    </row>
    <row r="64" spans="2:8" ht="15">
      <c r="B64" s="152" t="s">
        <v>16</v>
      </c>
      <c r="C64" s="152" t="s">
        <v>17</v>
      </c>
      <c r="D64" s="152" t="s">
        <v>16</v>
      </c>
      <c r="E64" s="152" t="s">
        <v>17</v>
      </c>
      <c r="F64" s="152" t="s">
        <v>16</v>
      </c>
      <c r="G64" s="321" t="s">
        <v>17</v>
      </c>
      <c r="H64" s="597"/>
    </row>
    <row r="65" spans="2:8" ht="15">
      <c r="B65" s="152">
        <v>1</v>
      </c>
      <c r="C65" s="152">
        <v>2</v>
      </c>
      <c r="D65" s="152">
        <v>3</v>
      </c>
      <c r="E65" s="152">
        <v>4</v>
      </c>
      <c r="F65" s="152">
        <v>5</v>
      </c>
      <c r="G65" s="321">
        <v>6</v>
      </c>
      <c r="H65" s="153">
        <v>7</v>
      </c>
    </row>
    <row r="66" spans="2:8" ht="15">
      <c r="B66" s="257">
        <f>C66/12</f>
        <v>0</v>
      </c>
      <c r="C66" s="257">
        <f>H66</f>
        <v>0</v>
      </c>
      <c r="D66" s="258">
        <f>H66/12</f>
        <v>0</v>
      </c>
      <c r="E66" s="258">
        <f>H66</f>
        <v>0</v>
      </c>
      <c r="F66" s="258">
        <f>G66/12</f>
        <v>0</v>
      </c>
      <c r="G66" s="258">
        <f>H66</f>
        <v>0</v>
      </c>
      <c r="H66" s="259">
        <v>0</v>
      </c>
    </row>
    <row r="67" spans="2:8" ht="15">
      <c r="B67" s="598" t="s">
        <v>233</v>
      </c>
      <c r="C67" s="599"/>
      <c r="D67" s="599"/>
      <c r="E67" s="599"/>
      <c r="F67" s="599"/>
      <c r="G67" s="600"/>
      <c r="H67" s="157">
        <f>H66</f>
        <v>0</v>
      </c>
    </row>
    <row r="68" spans="1:8" ht="15" hidden="1">
      <c r="A68" s="147"/>
      <c r="B68" s="624" t="s">
        <v>260</v>
      </c>
      <c r="C68" s="624"/>
      <c r="D68" s="624"/>
      <c r="E68" s="624"/>
      <c r="F68" s="624"/>
      <c r="G68" s="624"/>
      <c r="H68" s="163"/>
    </row>
    <row r="69" spans="1:8" ht="30.75" hidden="1">
      <c r="A69" s="147"/>
      <c r="B69" s="50" t="s">
        <v>33</v>
      </c>
      <c r="C69" s="533" t="s">
        <v>40</v>
      </c>
      <c r="D69" s="535"/>
      <c r="E69" s="50" t="s">
        <v>45</v>
      </c>
      <c r="F69" s="50" t="s">
        <v>46</v>
      </c>
      <c r="G69" s="431" t="s">
        <v>47</v>
      </c>
      <c r="H69" s="163"/>
    </row>
    <row r="70" spans="1:8" ht="15" hidden="1">
      <c r="A70" s="147"/>
      <c r="B70" s="50">
        <v>1</v>
      </c>
      <c r="C70" s="609" t="s">
        <v>327</v>
      </c>
      <c r="D70" s="611"/>
      <c r="E70" s="50">
        <v>34</v>
      </c>
      <c r="F70" s="238">
        <v>1470.59</v>
      </c>
      <c r="G70" s="255">
        <v>0</v>
      </c>
      <c r="H70" s="163"/>
    </row>
    <row r="71" spans="1:8" ht="15" hidden="1">
      <c r="A71" s="147"/>
      <c r="B71" s="585" t="s">
        <v>222</v>
      </c>
      <c r="C71" s="586"/>
      <c r="D71" s="587"/>
      <c r="E71" s="50" t="s">
        <v>35</v>
      </c>
      <c r="F71" s="170" t="s">
        <v>35</v>
      </c>
      <c r="G71" s="362">
        <f>SUM(G70:G70)</f>
        <v>0</v>
      </c>
      <c r="H71" s="163"/>
    </row>
    <row r="72" spans="2:8" ht="15" hidden="1">
      <c r="B72" s="185"/>
      <c r="C72" s="185"/>
      <c r="D72" s="185"/>
      <c r="E72" s="185"/>
      <c r="F72" s="185"/>
      <c r="G72" s="386"/>
      <c r="H72" s="186"/>
    </row>
    <row r="73" spans="1:8" ht="69" customHeight="1">
      <c r="A73" s="6"/>
      <c r="B73" s="625" t="s">
        <v>262</v>
      </c>
      <c r="C73" s="625"/>
      <c r="D73" s="625"/>
      <c r="E73" s="625"/>
      <c r="F73" s="625"/>
      <c r="G73" s="625"/>
      <c r="H73" s="166"/>
    </row>
    <row r="74" spans="1:7" ht="62.25">
      <c r="A74" s="6"/>
      <c r="B74" s="50" t="s">
        <v>33</v>
      </c>
      <c r="C74" s="533" t="s">
        <v>21</v>
      </c>
      <c r="D74" s="534"/>
      <c r="E74" s="535"/>
      <c r="F74" s="50" t="s">
        <v>22</v>
      </c>
      <c r="G74" s="431" t="s">
        <v>23</v>
      </c>
    </row>
    <row r="75" spans="1:7" ht="35.25" customHeight="1">
      <c r="A75" s="6"/>
      <c r="B75" s="118">
        <v>1</v>
      </c>
      <c r="C75" s="609" t="s">
        <v>34</v>
      </c>
      <c r="D75" s="610"/>
      <c r="E75" s="611"/>
      <c r="F75" s="118" t="s">
        <v>35</v>
      </c>
      <c r="G75" s="364">
        <f>SUM(G76:G78)</f>
        <v>0</v>
      </c>
    </row>
    <row r="76" spans="1:7" ht="15">
      <c r="A76" s="6"/>
      <c r="B76" s="118" t="s">
        <v>24</v>
      </c>
      <c r="C76" s="609" t="s">
        <v>36</v>
      </c>
      <c r="D76" s="610"/>
      <c r="E76" s="611"/>
      <c r="F76" s="159">
        <f>H66</f>
        <v>0</v>
      </c>
      <c r="G76" s="364">
        <f>F76*22%</f>
        <v>0</v>
      </c>
    </row>
    <row r="77" spans="1:7" ht="15">
      <c r="A77" s="6"/>
      <c r="B77" s="160" t="s">
        <v>25</v>
      </c>
      <c r="C77" s="609" t="s">
        <v>37</v>
      </c>
      <c r="D77" s="610"/>
      <c r="E77" s="611"/>
      <c r="F77" s="159"/>
      <c r="G77" s="364"/>
    </row>
    <row r="78" spans="1:7" ht="53.25" customHeight="1" hidden="1">
      <c r="A78" s="6"/>
      <c r="B78" s="118" t="s">
        <v>26</v>
      </c>
      <c r="C78" s="609" t="s">
        <v>77</v>
      </c>
      <c r="D78" s="610"/>
      <c r="E78" s="611"/>
      <c r="F78" s="159"/>
      <c r="G78" s="364"/>
    </row>
    <row r="79" spans="1:7" ht="34.5" customHeight="1">
      <c r="A79" s="6"/>
      <c r="B79" s="118">
        <v>2</v>
      </c>
      <c r="C79" s="609" t="s">
        <v>27</v>
      </c>
      <c r="D79" s="610"/>
      <c r="E79" s="611"/>
      <c r="F79" s="118" t="s">
        <v>35</v>
      </c>
      <c r="G79" s="364">
        <f>SUM(G80:G84)</f>
        <v>0</v>
      </c>
    </row>
    <row r="80" spans="1:7" ht="37.5" customHeight="1">
      <c r="A80" s="6"/>
      <c r="B80" s="118" t="s">
        <v>28</v>
      </c>
      <c r="C80" s="609" t="s">
        <v>78</v>
      </c>
      <c r="D80" s="610"/>
      <c r="E80" s="611"/>
      <c r="F80" s="159">
        <f>F76</f>
        <v>0</v>
      </c>
      <c r="G80" s="364">
        <f>F80*2.9%</f>
        <v>0</v>
      </c>
    </row>
    <row r="81" spans="1:7" ht="33.75" customHeight="1" hidden="1">
      <c r="A81" s="6"/>
      <c r="B81" s="118" t="s">
        <v>29</v>
      </c>
      <c r="C81" s="609" t="s">
        <v>79</v>
      </c>
      <c r="D81" s="610"/>
      <c r="E81" s="611"/>
      <c r="F81" s="159"/>
      <c r="G81" s="364"/>
    </row>
    <row r="82" spans="1:7" ht="45.75" customHeight="1">
      <c r="A82" s="6"/>
      <c r="B82" s="118" t="s">
        <v>29</v>
      </c>
      <c r="C82" s="609" t="s">
        <v>76</v>
      </c>
      <c r="D82" s="610"/>
      <c r="E82" s="611"/>
      <c r="F82" s="159">
        <f>F80</f>
        <v>0</v>
      </c>
      <c r="G82" s="364">
        <f>F82*0.2%</f>
        <v>0</v>
      </c>
    </row>
    <row r="83" spans="1:7" ht="49.5" customHeight="1" hidden="1">
      <c r="A83" s="6"/>
      <c r="B83" s="118" t="s">
        <v>31</v>
      </c>
      <c r="C83" s="609" t="s">
        <v>80</v>
      </c>
      <c r="D83" s="610"/>
      <c r="E83" s="611"/>
      <c r="F83" s="159"/>
      <c r="G83" s="364"/>
    </row>
    <row r="84" spans="1:7" ht="43.5" customHeight="1" hidden="1">
      <c r="A84" s="6"/>
      <c r="B84" s="118" t="s">
        <v>32</v>
      </c>
      <c r="C84" s="609" t="s">
        <v>80</v>
      </c>
      <c r="D84" s="610"/>
      <c r="E84" s="611"/>
      <c r="F84" s="159"/>
      <c r="G84" s="364"/>
    </row>
    <row r="85" spans="1:7" ht="41.25" customHeight="1">
      <c r="A85" s="6"/>
      <c r="B85" s="118" t="s">
        <v>38</v>
      </c>
      <c r="C85" s="609" t="s">
        <v>39</v>
      </c>
      <c r="D85" s="610"/>
      <c r="E85" s="611"/>
      <c r="F85" s="159">
        <f>F82</f>
        <v>0</v>
      </c>
      <c r="G85" s="364">
        <f>F85*5.1%</f>
        <v>0</v>
      </c>
    </row>
    <row r="86" spans="1:7" ht="15">
      <c r="A86" s="6"/>
      <c r="B86" s="574" t="s">
        <v>72</v>
      </c>
      <c r="C86" s="575"/>
      <c r="D86" s="575"/>
      <c r="E86" s="576"/>
      <c r="F86" s="118" t="s">
        <v>35</v>
      </c>
      <c r="G86" s="365">
        <f>G75+G79+G85</f>
        <v>0</v>
      </c>
    </row>
    <row r="88" spans="2:7" ht="15" hidden="1">
      <c r="B88" s="559" t="s">
        <v>263</v>
      </c>
      <c r="C88" s="559"/>
      <c r="D88" s="559"/>
      <c r="E88" s="559"/>
      <c r="F88" s="559"/>
      <c r="G88" s="559"/>
    </row>
    <row r="89" spans="2:7" ht="15" hidden="1">
      <c r="B89" s="608" t="s">
        <v>220</v>
      </c>
      <c r="C89" s="608"/>
      <c r="D89" s="608"/>
      <c r="E89" s="608"/>
      <c r="F89" s="608"/>
      <c r="G89" s="608"/>
    </row>
    <row r="90" spans="2:7" ht="15" hidden="1">
      <c r="B90" s="163"/>
      <c r="C90" s="165"/>
      <c r="D90" s="163"/>
      <c r="E90" s="163"/>
      <c r="F90" s="163"/>
      <c r="G90" s="438"/>
    </row>
    <row r="91" spans="2:7" ht="78" hidden="1">
      <c r="B91" s="50" t="s">
        <v>33</v>
      </c>
      <c r="C91" s="533" t="s">
        <v>40</v>
      </c>
      <c r="D91" s="535"/>
      <c r="E91" s="50" t="s">
        <v>41</v>
      </c>
      <c r="F91" s="50" t="s">
        <v>42</v>
      </c>
      <c r="G91" s="431" t="s">
        <v>43</v>
      </c>
    </row>
    <row r="92" spans="2:7" ht="15" hidden="1">
      <c r="B92" s="50">
        <v>1</v>
      </c>
      <c r="C92" s="533">
        <v>2</v>
      </c>
      <c r="D92" s="535"/>
      <c r="E92" s="50">
        <v>3</v>
      </c>
      <c r="F92" s="50">
        <v>4</v>
      </c>
      <c r="G92" s="431">
        <v>5</v>
      </c>
    </row>
    <row r="93" spans="2:7" ht="15" hidden="1">
      <c r="B93" s="50">
        <v>1</v>
      </c>
      <c r="C93" s="609" t="s">
        <v>328</v>
      </c>
      <c r="D93" s="611"/>
      <c r="E93" s="216" t="s">
        <v>330</v>
      </c>
      <c r="F93" s="216" t="s">
        <v>330</v>
      </c>
      <c r="G93" s="433">
        <v>0</v>
      </c>
    </row>
    <row r="94" spans="2:7" ht="15" hidden="1">
      <c r="B94" s="50">
        <v>2</v>
      </c>
      <c r="C94" s="609" t="s">
        <v>329</v>
      </c>
      <c r="D94" s="611"/>
      <c r="E94" s="216" t="s">
        <v>330</v>
      </c>
      <c r="F94" s="216" t="s">
        <v>330</v>
      </c>
      <c r="G94" s="433">
        <v>0</v>
      </c>
    </row>
    <row r="95" spans="1:8" ht="15" hidden="1">
      <c r="A95" s="166"/>
      <c r="B95" s="585" t="s">
        <v>223</v>
      </c>
      <c r="C95" s="586"/>
      <c r="D95" s="587"/>
      <c r="E95" s="25"/>
      <c r="F95" s="122"/>
      <c r="G95" s="370">
        <f>SUM(G93:G94)</f>
        <v>0</v>
      </c>
      <c r="H95" s="166"/>
    </row>
    <row r="96" ht="15" hidden="1"/>
    <row r="97" spans="1:8" ht="15">
      <c r="A97" s="6"/>
      <c r="H97" s="266" t="str">
        <f>'Пр.1Титульный лист'!L15</f>
        <v>22.12.2023</v>
      </c>
    </row>
    <row r="98" spans="1:8" ht="15">
      <c r="A98" s="6"/>
      <c r="B98" s="577" t="s">
        <v>712</v>
      </c>
      <c r="C98" s="577"/>
      <c r="D98" s="577"/>
      <c r="E98" s="577"/>
      <c r="F98" s="577"/>
      <c r="G98" s="577"/>
      <c r="H98" s="577"/>
    </row>
    <row r="99" spans="1:8" ht="15">
      <c r="A99" s="6"/>
      <c r="B99" s="577" t="s">
        <v>13</v>
      </c>
      <c r="C99" s="577"/>
      <c r="D99" s="577"/>
      <c r="E99" s="577"/>
      <c r="F99" s="577"/>
      <c r="G99" s="577"/>
      <c r="H99" s="577"/>
    </row>
    <row r="100" spans="1:8" ht="15">
      <c r="A100" s="6"/>
      <c r="B100" s="591" t="s">
        <v>807</v>
      </c>
      <c r="C100" s="577"/>
      <c r="D100" s="577"/>
      <c r="E100" s="577"/>
      <c r="F100" s="577"/>
      <c r="G100" s="577"/>
      <c r="H100" s="577"/>
    </row>
    <row r="101" spans="1:8" ht="15">
      <c r="A101" s="6"/>
      <c r="B101" s="594" t="s">
        <v>816</v>
      </c>
      <c r="C101" s="594"/>
      <c r="D101" s="594"/>
      <c r="E101" s="594"/>
      <c r="F101" s="594"/>
      <c r="G101" s="594"/>
      <c r="H101" s="594"/>
    </row>
    <row r="102" spans="2:8" ht="15">
      <c r="B102" s="577" t="s">
        <v>259</v>
      </c>
      <c r="C102" s="577"/>
      <c r="D102" s="577"/>
      <c r="E102" s="577"/>
      <c r="F102" s="577"/>
      <c r="G102" s="577"/>
      <c r="H102" s="577"/>
    </row>
    <row r="103" spans="2:8" ht="15">
      <c r="B103" s="595" t="s">
        <v>219</v>
      </c>
      <c r="C103" s="595"/>
      <c r="D103" s="595"/>
      <c r="E103" s="595"/>
      <c r="F103" s="595"/>
      <c r="G103" s="595"/>
      <c r="H103" s="595"/>
    </row>
    <row r="104" spans="2:8" ht="15">
      <c r="B104" s="577" t="s">
        <v>439</v>
      </c>
      <c r="C104" s="577"/>
      <c r="D104" s="577"/>
      <c r="E104" s="577"/>
      <c r="F104" s="577"/>
      <c r="G104" s="577"/>
      <c r="H104" s="577"/>
    </row>
    <row r="105" spans="2:8" ht="37.5" customHeight="1">
      <c r="B105" s="592" t="s">
        <v>324</v>
      </c>
      <c r="C105" s="593"/>
      <c r="D105" s="592" t="s">
        <v>19</v>
      </c>
      <c r="E105" s="593"/>
      <c r="F105" s="592" t="s">
        <v>325</v>
      </c>
      <c r="G105" s="593"/>
      <c r="H105" s="596" t="s">
        <v>326</v>
      </c>
    </row>
    <row r="106" spans="2:8" ht="15">
      <c r="B106" s="152" t="s">
        <v>16</v>
      </c>
      <c r="C106" s="152" t="s">
        <v>17</v>
      </c>
      <c r="D106" s="152" t="s">
        <v>16</v>
      </c>
      <c r="E106" s="152" t="s">
        <v>17</v>
      </c>
      <c r="F106" s="152" t="s">
        <v>16</v>
      </c>
      <c r="G106" s="321" t="s">
        <v>17</v>
      </c>
      <c r="H106" s="597"/>
    </row>
    <row r="107" spans="2:8" ht="15">
      <c r="B107" s="152">
        <v>1</v>
      </c>
      <c r="C107" s="152">
        <v>2</v>
      </c>
      <c r="D107" s="152">
        <v>3</v>
      </c>
      <c r="E107" s="152">
        <v>4</v>
      </c>
      <c r="F107" s="152">
        <v>5</v>
      </c>
      <c r="G107" s="321">
        <v>6</v>
      </c>
      <c r="H107" s="153">
        <v>7</v>
      </c>
    </row>
    <row r="108" spans="2:8" ht="15">
      <c r="B108" s="257">
        <f>C108/12</f>
        <v>0</v>
      </c>
      <c r="C108" s="257">
        <f>H108</f>
        <v>0</v>
      </c>
      <c r="D108" s="258">
        <f>H108/12</f>
        <v>0</v>
      </c>
      <c r="E108" s="258">
        <f>H108</f>
        <v>0</v>
      </c>
      <c r="F108" s="258">
        <f>G108/12</f>
        <v>0</v>
      </c>
      <c r="G108" s="258">
        <f>H108</f>
        <v>0</v>
      </c>
      <c r="H108" s="259">
        <v>0</v>
      </c>
    </row>
    <row r="109" spans="2:8" ht="15">
      <c r="B109" s="598" t="s">
        <v>233</v>
      </c>
      <c r="C109" s="599"/>
      <c r="D109" s="599"/>
      <c r="E109" s="599"/>
      <c r="F109" s="599"/>
      <c r="G109" s="600"/>
      <c r="H109" s="157">
        <f>H108</f>
        <v>0</v>
      </c>
    </row>
    <row r="110" spans="1:8" ht="15" hidden="1">
      <c r="A110" s="147"/>
      <c r="B110" s="582" t="s">
        <v>260</v>
      </c>
      <c r="C110" s="582"/>
      <c r="D110" s="582"/>
      <c r="E110" s="582"/>
      <c r="F110" s="582"/>
      <c r="G110" s="582"/>
      <c r="H110" s="163"/>
    </row>
    <row r="111" spans="1:8" ht="15" hidden="1">
      <c r="A111" s="147"/>
      <c r="B111" s="163"/>
      <c r="C111" s="163"/>
      <c r="D111" s="164"/>
      <c r="E111" s="163"/>
      <c r="F111" s="163"/>
      <c r="G111" s="438"/>
      <c r="H111" s="163"/>
    </row>
    <row r="112" spans="1:8" ht="30.75" hidden="1">
      <c r="A112" s="147"/>
      <c r="B112" s="50" t="s">
        <v>33</v>
      </c>
      <c r="C112" s="533" t="s">
        <v>40</v>
      </c>
      <c r="D112" s="535"/>
      <c r="E112" s="50" t="s">
        <v>45</v>
      </c>
      <c r="F112" s="50" t="s">
        <v>46</v>
      </c>
      <c r="G112" s="431" t="s">
        <v>47</v>
      </c>
      <c r="H112" s="163"/>
    </row>
    <row r="113" spans="1:8" ht="15" hidden="1">
      <c r="A113" s="147"/>
      <c r="B113" s="50">
        <v>1</v>
      </c>
      <c r="C113" s="533">
        <v>2</v>
      </c>
      <c r="D113" s="535"/>
      <c r="E113" s="50">
        <v>2</v>
      </c>
      <c r="F113" s="50">
        <v>4</v>
      </c>
      <c r="G113" s="431">
        <v>5</v>
      </c>
      <c r="H113" s="163"/>
    </row>
    <row r="114" spans="1:8" ht="15" hidden="1">
      <c r="A114" s="147"/>
      <c r="B114" s="50">
        <v>1</v>
      </c>
      <c r="C114" s="609" t="s">
        <v>327</v>
      </c>
      <c r="D114" s="611"/>
      <c r="E114" s="50"/>
      <c r="F114" s="50"/>
      <c r="G114" s="255"/>
      <c r="H114" s="163"/>
    </row>
    <row r="115" spans="1:8" ht="15" hidden="1">
      <c r="A115" s="147"/>
      <c r="B115" s="50"/>
      <c r="C115" s="609"/>
      <c r="D115" s="611"/>
      <c r="E115" s="50"/>
      <c r="F115" s="169"/>
      <c r="G115" s="433"/>
      <c r="H115" s="163"/>
    </row>
    <row r="116" spans="1:8" ht="15" hidden="1">
      <c r="A116" s="147"/>
      <c r="B116" s="585" t="s">
        <v>222</v>
      </c>
      <c r="C116" s="586"/>
      <c r="D116" s="587"/>
      <c r="E116" s="50" t="s">
        <v>35</v>
      </c>
      <c r="F116" s="170" t="s">
        <v>35</v>
      </c>
      <c r="G116" s="362">
        <f>SUM(G114:G115)</f>
        <v>0</v>
      </c>
      <c r="H116" s="163"/>
    </row>
    <row r="117" spans="2:8" ht="15" hidden="1">
      <c r="B117" s="185"/>
      <c r="C117" s="185"/>
      <c r="D117" s="185"/>
      <c r="E117" s="185"/>
      <c r="F117" s="185"/>
      <c r="G117" s="386"/>
      <c r="H117" s="186"/>
    </row>
    <row r="118" spans="2:8" ht="67.5" customHeight="1">
      <c r="B118" s="577" t="s">
        <v>262</v>
      </c>
      <c r="C118" s="577"/>
      <c r="D118" s="577"/>
      <c r="E118" s="577"/>
      <c r="F118" s="577"/>
      <c r="G118" s="577"/>
      <c r="H118" s="166"/>
    </row>
    <row r="119" spans="2:7" ht="62.25">
      <c r="B119" s="50" t="s">
        <v>33</v>
      </c>
      <c r="C119" s="533" t="s">
        <v>21</v>
      </c>
      <c r="D119" s="534"/>
      <c r="E119" s="535"/>
      <c r="F119" s="50" t="s">
        <v>22</v>
      </c>
      <c r="G119" s="431" t="s">
        <v>23</v>
      </c>
    </row>
    <row r="120" spans="2:7" ht="15">
      <c r="B120" s="118">
        <v>1</v>
      </c>
      <c r="C120" s="605">
        <v>2</v>
      </c>
      <c r="D120" s="606"/>
      <c r="E120" s="607"/>
      <c r="F120" s="118">
        <v>3</v>
      </c>
      <c r="G120" s="363">
        <v>4</v>
      </c>
    </row>
    <row r="121" spans="2:7" ht="42" customHeight="1">
      <c r="B121" s="118">
        <v>1</v>
      </c>
      <c r="C121" s="609" t="s">
        <v>34</v>
      </c>
      <c r="D121" s="610"/>
      <c r="E121" s="611"/>
      <c r="F121" s="118" t="s">
        <v>35</v>
      </c>
      <c r="G121" s="364">
        <f>SUM(G122:G124)</f>
        <v>0</v>
      </c>
    </row>
    <row r="122" spans="2:7" ht="15">
      <c r="B122" s="118" t="s">
        <v>24</v>
      </c>
      <c r="C122" s="609" t="s">
        <v>36</v>
      </c>
      <c r="D122" s="610"/>
      <c r="E122" s="611"/>
      <c r="F122" s="159">
        <f>H108</f>
        <v>0</v>
      </c>
      <c r="G122" s="364">
        <f>F122*22%</f>
        <v>0</v>
      </c>
    </row>
    <row r="123" spans="2:7" ht="15">
      <c r="B123" s="160" t="s">
        <v>25</v>
      </c>
      <c r="C123" s="609" t="s">
        <v>37</v>
      </c>
      <c r="D123" s="610"/>
      <c r="E123" s="611"/>
      <c r="F123" s="159"/>
      <c r="G123" s="364"/>
    </row>
    <row r="124" spans="2:7" ht="47.25" customHeight="1" hidden="1">
      <c r="B124" s="118" t="s">
        <v>26</v>
      </c>
      <c r="C124" s="609" t="s">
        <v>77</v>
      </c>
      <c r="D124" s="610"/>
      <c r="E124" s="611"/>
      <c r="F124" s="159"/>
      <c r="G124" s="364"/>
    </row>
    <row r="125" spans="2:7" ht="34.5" customHeight="1">
      <c r="B125" s="118">
        <v>2</v>
      </c>
      <c r="C125" s="609" t="s">
        <v>27</v>
      </c>
      <c r="D125" s="610"/>
      <c r="E125" s="611"/>
      <c r="F125" s="118" t="s">
        <v>35</v>
      </c>
      <c r="G125" s="364">
        <f>SUM(G126:G130)</f>
        <v>0</v>
      </c>
    </row>
    <row r="126" spans="2:7" ht="43.5" customHeight="1">
      <c r="B126" s="118" t="s">
        <v>28</v>
      </c>
      <c r="C126" s="609" t="s">
        <v>78</v>
      </c>
      <c r="D126" s="610"/>
      <c r="E126" s="611"/>
      <c r="F126" s="159">
        <f>F122</f>
        <v>0</v>
      </c>
      <c r="G126" s="364">
        <f>F126*2.9%</f>
        <v>0</v>
      </c>
    </row>
    <row r="127" spans="2:7" ht="36.75" customHeight="1" hidden="1">
      <c r="B127" s="118" t="s">
        <v>29</v>
      </c>
      <c r="C127" s="609" t="s">
        <v>79</v>
      </c>
      <c r="D127" s="610"/>
      <c r="E127" s="611"/>
      <c r="F127" s="159"/>
      <c r="G127" s="364"/>
    </row>
    <row r="128" spans="2:7" ht="47.25" customHeight="1">
      <c r="B128" s="118" t="s">
        <v>29</v>
      </c>
      <c r="C128" s="609" t="s">
        <v>76</v>
      </c>
      <c r="D128" s="610"/>
      <c r="E128" s="611"/>
      <c r="F128" s="159">
        <f>F126</f>
        <v>0</v>
      </c>
      <c r="G128" s="364">
        <f>F128*0.2%</f>
        <v>0</v>
      </c>
    </row>
    <row r="129" spans="2:7" ht="42" customHeight="1" hidden="1">
      <c r="B129" s="118" t="s">
        <v>31</v>
      </c>
      <c r="C129" s="609" t="s">
        <v>80</v>
      </c>
      <c r="D129" s="610"/>
      <c r="E129" s="611"/>
      <c r="F129" s="159"/>
      <c r="G129" s="364"/>
    </row>
    <row r="130" spans="2:7" ht="48.75" customHeight="1" hidden="1">
      <c r="B130" s="118" t="s">
        <v>32</v>
      </c>
      <c r="C130" s="609" t="s">
        <v>80</v>
      </c>
      <c r="D130" s="610"/>
      <c r="E130" s="611"/>
      <c r="F130" s="159"/>
      <c r="G130" s="364"/>
    </row>
    <row r="131" spans="2:7" ht="35.25" customHeight="1">
      <c r="B131" s="118" t="s">
        <v>38</v>
      </c>
      <c r="C131" s="609" t="s">
        <v>39</v>
      </c>
      <c r="D131" s="610"/>
      <c r="E131" s="611"/>
      <c r="F131" s="159">
        <f>F128</f>
        <v>0</v>
      </c>
      <c r="G131" s="364">
        <f>F131*5.1%</f>
        <v>0</v>
      </c>
    </row>
    <row r="132" spans="2:7" ht="22.5" customHeight="1">
      <c r="B132" s="574" t="s">
        <v>72</v>
      </c>
      <c r="C132" s="575"/>
      <c r="D132" s="575"/>
      <c r="E132" s="576"/>
      <c r="F132" s="118" t="s">
        <v>35</v>
      </c>
      <c r="G132" s="365">
        <f>G121+G125+G131</f>
        <v>0</v>
      </c>
    </row>
    <row r="133" ht="15" hidden="1"/>
    <row r="134" spans="2:7" ht="15" hidden="1">
      <c r="B134" s="559" t="s">
        <v>263</v>
      </c>
      <c r="C134" s="559"/>
      <c r="D134" s="559"/>
      <c r="E134" s="559"/>
      <c r="F134" s="559"/>
      <c r="G134" s="559"/>
    </row>
    <row r="135" spans="2:7" ht="15" hidden="1">
      <c r="B135" s="163"/>
      <c r="C135" s="163"/>
      <c r="D135" s="163"/>
      <c r="E135" s="163"/>
      <c r="F135" s="163"/>
      <c r="G135" s="367"/>
    </row>
    <row r="136" spans="2:7" ht="15" hidden="1">
      <c r="B136" s="608" t="s">
        <v>220</v>
      </c>
      <c r="C136" s="608"/>
      <c r="D136" s="608"/>
      <c r="E136" s="608"/>
      <c r="F136" s="608"/>
      <c r="G136" s="608"/>
    </row>
    <row r="137" spans="2:7" ht="15" hidden="1">
      <c r="B137" s="163"/>
      <c r="C137" s="165"/>
      <c r="D137" s="163"/>
      <c r="E137" s="163"/>
      <c r="F137" s="163"/>
      <c r="G137" s="438"/>
    </row>
    <row r="138" spans="2:7" ht="78" hidden="1">
      <c r="B138" s="50" t="s">
        <v>33</v>
      </c>
      <c r="C138" s="530" t="s">
        <v>40</v>
      </c>
      <c r="D138" s="530"/>
      <c r="E138" s="50" t="s">
        <v>41</v>
      </c>
      <c r="F138" s="50" t="s">
        <v>42</v>
      </c>
      <c r="G138" s="431" t="s">
        <v>43</v>
      </c>
    </row>
    <row r="139" spans="2:7" ht="15" hidden="1">
      <c r="B139" s="50">
        <v>1</v>
      </c>
      <c r="C139" s="530">
        <v>2</v>
      </c>
      <c r="D139" s="530"/>
      <c r="E139" s="50">
        <v>3</v>
      </c>
      <c r="F139" s="50">
        <v>4</v>
      </c>
      <c r="G139" s="431">
        <v>5</v>
      </c>
    </row>
    <row r="140" spans="2:7" ht="15" hidden="1">
      <c r="B140" s="50">
        <v>1</v>
      </c>
      <c r="C140" s="609" t="s">
        <v>328</v>
      </c>
      <c r="D140" s="611"/>
      <c r="E140" s="216" t="s">
        <v>330</v>
      </c>
      <c r="F140" s="216" t="s">
        <v>330</v>
      </c>
      <c r="G140" s="433"/>
    </row>
    <row r="141" spans="2:7" ht="15" hidden="1">
      <c r="B141" s="50">
        <v>2</v>
      </c>
      <c r="C141" s="567" t="s">
        <v>329</v>
      </c>
      <c r="D141" s="567"/>
      <c r="E141" s="216" t="s">
        <v>330</v>
      </c>
      <c r="F141" s="216" t="s">
        <v>330</v>
      </c>
      <c r="G141" s="433"/>
    </row>
    <row r="142" spans="1:8" ht="15" hidden="1">
      <c r="A142" s="166"/>
      <c r="B142" s="585" t="s">
        <v>438</v>
      </c>
      <c r="C142" s="586"/>
      <c r="D142" s="586"/>
      <c r="E142" s="586"/>
      <c r="F142" s="587"/>
      <c r="G142" s="370">
        <f>SUM(G140:G141)</f>
        <v>0</v>
      </c>
      <c r="H142" s="166"/>
    </row>
    <row r="143" ht="15" hidden="1"/>
  </sheetData>
  <sheetProtection/>
  <mergeCells count="123">
    <mergeCell ref="B136:G136"/>
    <mergeCell ref="C138:D138"/>
    <mergeCell ref="C139:D139"/>
    <mergeCell ref="C140:D140"/>
    <mergeCell ref="C141:D141"/>
    <mergeCell ref="B142:F142"/>
    <mergeCell ref="C128:E128"/>
    <mergeCell ref="C129:E129"/>
    <mergeCell ref="C130:E130"/>
    <mergeCell ref="C131:E131"/>
    <mergeCell ref="B132:E132"/>
    <mergeCell ref="B134:G134"/>
    <mergeCell ref="C122:E122"/>
    <mergeCell ref="C123:E123"/>
    <mergeCell ref="C124:E124"/>
    <mergeCell ref="C125:E125"/>
    <mergeCell ref="C126:E126"/>
    <mergeCell ref="C127:E127"/>
    <mergeCell ref="C115:D115"/>
    <mergeCell ref="B116:D116"/>
    <mergeCell ref="B118:G118"/>
    <mergeCell ref="C119:E119"/>
    <mergeCell ref="C120:E120"/>
    <mergeCell ref="C121:E121"/>
    <mergeCell ref="B110:G110"/>
    <mergeCell ref="C112:D112"/>
    <mergeCell ref="C113:D113"/>
    <mergeCell ref="C114:D114"/>
    <mergeCell ref="B104:H104"/>
    <mergeCell ref="B105:C105"/>
    <mergeCell ref="D105:E105"/>
    <mergeCell ref="F105:G105"/>
    <mergeCell ref="H105:H106"/>
    <mergeCell ref="B109:G109"/>
    <mergeCell ref="B98:H98"/>
    <mergeCell ref="B99:H99"/>
    <mergeCell ref="B100:H100"/>
    <mergeCell ref="B101:H101"/>
    <mergeCell ref="B102:H102"/>
    <mergeCell ref="B103:H103"/>
    <mergeCell ref="C93:D93"/>
    <mergeCell ref="C94:D94"/>
    <mergeCell ref="B95:D95"/>
    <mergeCell ref="C85:E85"/>
    <mergeCell ref="B86:E86"/>
    <mergeCell ref="B88:G88"/>
    <mergeCell ref="B89:G89"/>
    <mergeCell ref="C91:D91"/>
    <mergeCell ref="C92:D92"/>
    <mergeCell ref="C79:E79"/>
    <mergeCell ref="C80:E80"/>
    <mergeCell ref="C81:E81"/>
    <mergeCell ref="C82:E82"/>
    <mergeCell ref="C83:E83"/>
    <mergeCell ref="C84:E84"/>
    <mergeCell ref="B73:G73"/>
    <mergeCell ref="C74:E74"/>
    <mergeCell ref="C75:E75"/>
    <mergeCell ref="C76:E76"/>
    <mergeCell ref="C77:E77"/>
    <mergeCell ref="C78:E78"/>
    <mergeCell ref="B68:G68"/>
    <mergeCell ref="C69:D69"/>
    <mergeCell ref="C70:D70"/>
    <mergeCell ref="B71:D71"/>
    <mergeCell ref="B62:H62"/>
    <mergeCell ref="B63:C63"/>
    <mergeCell ref="D63:E63"/>
    <mergeCell ref="F63:G63"/>
    <mergeCell ref="H63:H64"/>
    <mergeCell ref="B67:G67"/>
    <mergeCell ref="B56:H56"/>
    <mergeCell ref="B57:H57"/>
    <mergeCell ref="B58:H58"/>
    <mergeCell ref="B59:H59"/>
    <mergeCell ref="B60:H60"/>
    <mergeCell ref="B61:H61"/>
    <mergeCell ref="C52:D52"/>
    <mergeCell ref="C53:D53"/>
    <mergeCell ref="B54:D54"/>
    <mergeCell ref="B45:G45"/>
    <mergeCell ref="B46:G46"/>
    <mergeCell ref="C48:D48"/>
    <mergeCell ref="C49:D49"/>
    <mergeCell ref="C50:D50"/>
    <mergeCell ref="C51:D51"/>
    <mergeCell ref="C38:E38"/>
    <mergeCell ref="C39:E39"/>
    <mergeCell ref="C40:E40"/>
    <mergeCell ref="C41:E41"/>
    <mergeCell ref="C42:E42"/>
    <mergeCell ref="B43:G43"/>
    <mergeCell ref="C29:E29"/>
    <mergeCell ref="C30:E30"/>
    <mergeCell ref="C31:E31"/>
    <mergeCell ref="B32:E32"/>
    <mergeCell ref="B34:G34"/>
    <mergeCell ref="B36:G36"/>
    <mergeCell ref="C23:E23"/>
    <mergeCell ref="C24:E24"/>
    <mergeCell ref="C25:E25"/>
    <mergeCell ref="C26:E26"/>
    <mergeCell ref="C27:E27"/>
    <mergeCell ref="C28:E28"/>
    <mergeCell ref="B18:G18"/>
    <mergeCell ref="C19:E19"/>
    <mergeCell ref="C20:E20"/>
    <mergeCell ref="C21:E21"/>
    <mergeCell ref="C22:E22"/>
    <mergeCell ref="B17:G17"/>
    <mergeCell ref="B10:H10"/>
    <mergeCell ref="B11:H11"/>
    <mergeCell ref="B12:H12"/>
    <mergeCell ref="B13:C13"/>
    <mergeCell ref="D13:E13"/>
    <mergeCell ref="F13:G13"/>
    <mergeCell ref="H13:H14"/>
    <mergeCell ref="G1:H1"/>
    <mergeCell ref="F2:H4"/>
    <mergeCell ref="B6:H6"/>
    <mergeCell ref="B7:H7"/>
    <mergeCell ref="B8:H8"/>
    <mergeCell ref="B9:H9"/>
  </mergeCells>
  <printOptions/>
  <pageMargins left="0.1968503937007874" right="0.1968503937007874" top="0.3937007874015748" bottom="0.1968503937007874" header="0.31496062992125984" footer="0.31496062992125984"/>
  <pageSetup fitToHeight="0" fitToWidth="1" horizontalDpi="600" verticalDpi="600" orientation="portrait" paperSize="9" scale="75" r:id="rId1"/>
  <rowBreaks count="3" manualBreakCount="3">
    <brk id="54" max="255" man="1"/>
    <brk id="87" max="255" man="1"/>
    <brk id="96" max="255" man="1"/>
  </rowBreaks>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J688"/>
  <sheetViews>
    <sheetView view="pageBreakPreview" zoomScaleSheetLayoutView="100" zoomScalePageLayoutView="0" workbookViewId="0" topLeftCell="A5">
      <selection activeCell="B19" sqref="B19:H19"/>
    </sheetView>
  </sheetViews>
  <sheetFormatPr defaultColWidth="9.140625" defaultRowHeight="15"/>
  <cols>
    <col min="1" max="1" width="4.8515625" style="131" customWidth="1"/>
    <col min="2" max="2" width="15.140625" style="147" customWidth="1"/>
    <col min="3" max="3" width="22.421875" style="147" customWidth="1"/>
    <col min="4" max="4" width="20.28125" style="147" customWidth="1"/>
    <col min="5" max="5" width="19.7109375" style="147" customWidth="1"/>
    <col min="6" max="6" width="16.8515625" style="147" customWidth="1"/>
    <col min="7" max="7" width="17.7109375" style="147" customWidth="1"/>
    <col min="8" max="8" width="16.140625" style="131" customWidth="1"/>
    <col min="9" max="16384" width="9.140625" style="6" customWidth="1"/>
  </cols>
  <sheetData>
    <row r="1" spans="7:8" ht="15" hidden="1">
      <c r="G1" s="589" t="s">
        <v>217</v>
      </c>
      <c r="H1" s="589"/>
    </row>
    <row r="2" spans="2:8" ht="15.75" customHeight="1" hidden="1">
      <c r="B2" s="131"/>
      <c r="C2" s="131"/>
      <c r="D2" s="131"/>
      <c r="E2" s="131"/>
      <c r="F2" s="590" t="s">
        <v>218</v>
      </c>
      <c r="G2" s="590"/>
      <c r="H2" s="590"/>
    </row>
    <row r="3" spans="2:8" ht="15" hidden="1">
      <c r="B3" s="131"/>
      <c r="C3" s="131"/>
      <c r="D3" s="131"/>
      <c r="E3" s="131"/>
      <c r="F3" s="590"/>
      <c r="G3" s="590"/>
      <c r="H3" s="590"/>
    </row>
    <row r="4" spans="2:8" ht="49.5" customHeight="1" hidden="1">
      <c r="B4" s="131"/>
      <c r="C4" s="131"/>
      <c r="D4" s="131"/>
      <c r="E4" s="131"/>
      <c r="F4" s="590"/>
      <c r="G4" s="590"/>
      <c r="H4" s="590"/>
    </row>
    <row r="5" spans="2:8" ht="14.25" customHeight="1">
      <c r="B5" s="131"/>
      <c r="C5" s="131"/>
      <c r="D5" s="131"/>
      <c r="E5" s="131"/>
      <c r="F5" s="148"/>
      <c r="G5" s="148"/>
      <c r="H5" s="265" t="str">
        <f>'Пр.1Титульный лист'!L15</f>
        <v>22.12.2023</v>
      </c>
    </row>
    <row r="6" spans="2:8" ht="15">
      <c r="B6" s="577" t="s">
        <v>712</v>
      </c>
      <c r="C6" s="577"/>
      <c r="D6" s="577"/>
      <c r="E6" s="577"/>
      <c r="F6" s="577"/>
      <c r="G6" s="577"/>
      <c r="H6" s="577"/>
    </row>
    <row r="7" spans="2:8" ht="15">
      <c r="B7" s="577" t="s">
        <v>13</v>
      </c>
      <c r="C7" s="577"/>
      <c r="D7" s="577"/>
      <c r="E7" s="577"/>
      <c r="F7" s="577"/>
      <c r="G7" s="577"/>
      <c r="H7" s="577"/>
    </row>
    <row r="8" spans="2:8" ht="15">
      <c r="B8" s="591" t="s">
        <v>971</v>
      </c>
      <c r="C8" s="577"/>
      <c r="D8" s="577"/>
      <c r="E8" s="577"/>
      <c r="F8" s="577"/>
      <c r="G8" s="577"/>
      <c r="H8" s="577"/>
    </row>
    <row r="9" spans="2:8" ht="16.5" customHeight="1">
      <c r="B9" s="594" t="s">
        <v>602</v>
      </c>
      <c r="C9" s="594"/>
      <c r="D9" s="594"/>
      <c r="E9" s="594"/>
      <c r="F9" s="594"/>
      <c r="G9" s="594"/>
      <c r="H9" s="594"/>
    </row>
    <row r="10" spans="2:8" ht="15">
      <c r="B10" s="577" t="s">
        <v>259</v>
      </c>
      <c r="C10" s="577"/>
      <c r="D10" s="577"/>
      <c r="E10" s="577"/>
      <c r="F10" s="577"/>
      <c r="G10" s="577"/>
      <c r="H10" s="577"/>
    </row>
    <row r="11" spans="2:8" ht="15">
      <c r="B11" s="595" t="s">
        <v>219</v>
      </c>
      <c r="C11" s="595"/>
      <c r="D11" s="595"/>
      <c r="E11" s="595"/>
      <c r="F11" s="595"/>
      <c r="G11" s="595"/>
      <c r="H11" s="595"/>
    </row>
    <row r="12" spans="2:8" ht="15">
      <c r="B12" s="577" t="s">
        <v>439</v>
      </c>
      <c r="C12" s="577"/>
      <c r="D12" s="577"/>
      <c r="E12" s="577"/>
      <c r="F12" s="577"/>
      <c r="G12" s="577"/>
      <c r="H12" s="577"/>
    </row>
    <row r="13" spans="2:8" ht="48" customHeight="1">
      <c r="B13" s="592" t="s">
        <v>324</v>
      </c>
      <c r="C13" s="593"/>
      <c r="D13" s="592" t="s">
        <v>19</v>
      </c>
      <c r="E13" s="593"/>
      <c r="F13" s="592" t="s">
        <v>325</v>
      </c>
      <c r="G13" s="593"/>
      <c r="H13" s="596" t="s">
        <v>326</v>
      </c>
    </row>
    <row r="14" spans="2:8" ht="15">
      <c r="B14" s="152" t="s">
        <v>16</v>
      </c>
      <c r="C14" s="152" t="s">
        <v>17</v>
      </c>
      <c r="D14" s="152" t="s">
        <v>16</v>
      </c>
      <c r="E14" s="152" t="s">
        <v>17</v>
      </c>
      <c r="F14" s="152" t="s">
        <v>16</v>
      </c>
      <c r="G14" s="152" t="s">
        <v>17</v>
      </c>
      <c r="H14" s="597"/>
    </row>
    <row r="15" spans="2:8" ht="15">
      <c r="B15" s="152">
        <v>1</v>
      </c>
      <c r="C15" s="152">
        <v>2</v>
      </c>
      <c r="D15" s="152">
        <v>3</v>
      </c>
      <c r="E15" s="152">
        <v>4</v>
      </c>
      <c r="F15" s="152">
        <v>5</v>
      </c>
      <c r="G15" s="152">
        <v>6</v>
      </c>
      <c r="H15" s="153">
        <v>7</v>
      </c>
    </row>
    <row r="16" spans="1:8" ht="18" customHeight="1">
      <c r="A16" s="6"/>
      <c r="B16" s="257">
        <v>3194449.29</v>
      </c>
      <c r="C16" s="257">
        <f>B16*12</f>
        <v>38333391.480000004</v>
      </c>
      <c r="D16" s="258">
        <f>H16/12</f>
        <v>3069034.8183333334</v>
      </c>
      <c r="E16" s="258">
        <f>H16</f>
        <v>36828417.82</v>
      </c>
      <c r="F16" s="258">
        <v>2431458.04</v>
      </c>
      <c r="G16" s="258">
        <f>F16*12</f>
        <v>29177496.48</v>
      </c>
      <c r="H16" s="259">
        <v>36828417.82</v>
      </c>
    </row>
    <row r="17" spans="2:10" ht="15" hidden="1">
      <c r="B17" s="603" t="s">
        <v>972</v>
      </c>
      <c r="C17" s="603"/>
      <c r="D17" s="603"/>
      <c r="E17" s="603"/>
      <c r="F17" s="603"/>
      <c r="G17" s="603"/>
      <c r="H17" s="465">
        <v>0</v>
      </c>
      <c r="I17" s="245"/>
      <c r="J17" s="245"/>
    </row>
    <row r="18" spans="2:8" ht="15">
      <c r="B18" s="598" t="s">
        <v>233</v>
      </c>
      <c r="C18" s="599"/>
      <c r="D18" s="599"/>
      <c r="E18" s="599"/>
      <c r="F18" s="599"/>
      <c r="G18" s="600"/>
      <c r="H18" s="157">
        <f>H16+H17</f>
        <v>36828417.82</v>
      </c>
    </row>
    <row r="19" spans="2:8" ht="43.5" customHeight="1">
      <c r="B19" s="601" t="s">
        <v>973</v>
      </c>
      <c r="C19" s="602"/>
      <c r="D19" s="602"/>
      <c r="E19" s="602"/>
      <c r="F19" s="602"/>
      <c r="G19" s="602"/>
      <c r="H19" s="602"/>
    </row>
    <row r="20" spans="2:8" ht="15">
      <c r="B20" s="613" t="s">
        <v>964</v>
      </c>
      <c r="C20" s="614"/>
      <c r="D20" s="614"/>
      <c r="E20" s="614"/>
      <c r="F20" s="614"/>
      <c r="G20" s="614"/>
      <c r="H20" s="614"/>
    </row>
    <row r="21" spans="1:8" s="8" customFormat="1" ht="32.25" customHeight="1">
      <c r="A21" s="147"/>
      <c r="B21" s="628" t="s">
        <v>260</v>
      </c>
      <c r="C21" s="628"/>
      <c r="D21" s="628"/>
      <c r="E21" s="628"/>
      <c r="F21" s="628"/>
      <c r="G21" s="628"/>
      <c r="H21" s="163"/>
    </row>
    <row r="22" spans="1:8" s="8" customFormat="1" ht="30.75">
      <c r="A22" s="147"/>
      <c r="B22" s="50" t="s">
        <v>33</v>
      </c>
      <c r="C22" s="533" t="s">
        <v>40</v>
      </c>
      <c r="D22" s="535"/>
      <c r="E22" s="50" t="s">
        <v>45</v>
      </c>
      <c r="F22" s="50" t="s">
        <v>46</v>
      </c>
      <c r="G22" s="50" t="s">
        <v>47</v>
      </c>
      <c r="H22" s="163"/>
    </row>
    <row r="23" spans="1:8" s="8" customFormat="1" ht="15">
      <c r="A23" s="147"/>
      <c r="B23" s="50">
        <v>1</v>
      </c>
      <c r="C23" s="533">
        <v>2</v>
      </c>
      <c r="D23" s="535"/>
      <c r="E23" s="50">
        <v>2</v>
      </c>
      <c r="F23" s="50">
        <v>4</v>
      </c>
      <c r="G23" s="50">
        <v>5</v>
      </c>
      <c r="H23" s="163"/>
    </row>
    <row r="24" spans="1:8" s="8" customFormat="1" ht="30.75" customHeight="1">
      <c r="A24" s="147"/>
      <c r="B24" s="50">
        <v>1</v>
      </c>
      <c r="C24" s="609" t="s">
        <v>327</v>
      </c>
      <c r="D24" s="611"/>
      <c r="E24" s="256">
        <v>100</v>
      </c>
      <c r="F24" s="268">
        <f>G24/E24</f>
        <v>1500</v>
      </c>
      <c r="G24" s="315">
        <v>150000</v>
      </c>
      <c r="H24" s="163"/>
    </row>
    <row r="25" spans="1:8" s="8" customFormat="1" ht="17.25" customHeight="1" hidden="1">
      <c r="A25" s="147"/>
      <c r="B25" s="50"/>
      <c r="C25" s="609"/>
      <c r="D25" s="611"/>
      <c r="E25" s="50"/>
      <c r="F25" s="169"/>
      <c r="G25" s="123"/>
      <c r="H25" s="163"/>
    </row>
    <row r="26" spans="1:8" s="8" customFormat="1" ht="15">
      <c r="A26" s="147"/>
      <c r="B26" s="585" t="s">
        <v>222</v>
      </c>
      <c r="C26" s="586"/>
      <c r="D26" s="587"/>
      <c r="E26" s="50" t="s">
        <v>35</v>
      </c>
      <c r="F26" s="170" t="s">
        <v>35</v>
      </c>
      <c r="G26" s="122">
        <f>SUM(G24:G25)</f>
        <v>150000</v>
      </c>
      <c r="H26" s="163"/>
    </row>
    <row r="27" spans="2:8" ht="63" customHeight="1">
      <c r="B27" s="577" t="s">
        <v>262</v>
      </c>
      <c r="C27" s="577"/>
      <c r="D27" s="577"/>
      <c r="E27" s="577"/>
      <c r="F27" s="577"/>
      <c r="G27" s="577"/>
      <c r="H27" s="166"/>
    </row>
    <row r="28" spans="2:7" ht="45" customHeight="1">
      <c r="B28" s="50" t="s">
        <v>33</v>
      </c>
      <c r="C28" s="533" t="s">
        <v>21</v>
      </c>
      <c r="D28" s="534"/>
      <c r="E28" s="535"/>
      <c r="F28" s="50" t="s">
        <v>22</v>
      </c>
      <c r="G28" s="50" t="s">
        <v>23</v>
      </c>
    </row>
    <row r="29" spans="2:7" ht="15">
      <c r="B29" s="118">
        <v>1</v>
      </c>
      <c r="C29" s="605">
        <v>2</v>
      </c>
      <c r="D29" s="606"/>
      <c r="E29" s="607"/>
      <c r="F29" s="118">
        <v>3</v>
      </c>
      <c r="G29" s="118">
        <v>4</v>
      </c>
    </row>
    <row r="30" spans="2:7" ht="32.25" customHeight="1">
      <c r="B30" s="118">
        <v>1</v>
      </c>
      <c r="C30" s="609" t="s">
        <v>34</v>
      </c>
      <c r="D30" s="610"/>
      <c r="E30" s="611"/>
      <c r="F30" s="118" t="s">
        <v>35</v>
      </c>
      <c r="G30" s="324">
        <f>SUM(G31:G33)</f>
        <v>8102252</v>
      </c>
    </row>
    <row r="31" spans="2:7" ht="15">
      <c r="B31" s="118" t="s">
        <v>24</v>
      </c>
      <c r="C31" s="609" t="s">
        <v>36</v>
      </c>
      <c r="D31" s="610"/>
      <c r="E31" s="611"/>
      <c r="F31" s="159">
        <f>H16</f>
        <v>36828417.82</v>
      </c>
      <c r="G31" s="324">
        <f>ROUNDUP(F31*22%,0)</f>
        <v>8102252</v>
      </c>
    </row>
    <row r="32" spans="1:8" ht="15" hidden="1">
      <c r="A32" s="6"/>
      <c r="B32" s="160" t="s">
        <v>25</v>
      </c>
      <c r="C32" s="609" t="s">
        <v>37</v>
      </c>
      <c r="D32" s="610"/>
      <c r="E32" s="611"/>
      <c r="F32" s="159"/>
      <c r="G32" s="324"/>
      <c r="H32" s="6"/>
    </row>
    <row r="33" spans="1:8" ht="50.25" customHeight="1" hidden="1">
      <c r="A33" s="6"/>
      <c r="B33" s="118" t="s">
        <v>26</v>
      </c>
      <c r="C33" s="609" t="s">
        <v>77</v>
      </c>
      <c r="D33" s="610"/>
      <c r="E33" s="611"/>
      <c r="F33" s="159"/>
      <c r="G33" s="324"/>
      <c r="H33" s="6"/>
    </row>
    <row r="34" spans="1:8" ht="33" customHeight="1">
      <c r="A34" s="6"/>
      <c r="B34" s="118">
        <v>2</v>
      </c>
      <c r="C34" s="609" t="s">
        <v>27</v>
      </c>
      <c r="D34" s="610"/>
      <c r="E34" s="611"/>
      <c r="F34" s="118" t="s">
        <v>35</v>
      </c>
      <c r="G34" s="324">
        <f>SUM(G35:G39)</f>
        <v>1141681.18</v>
      </c>
      <c r="H34" s="6"/>
    </row>
    <row r="35" spans="1:8" ht="45.75" customHeight="1">
      <c r="A35" s="6"/>
      <c r="B35" s="118" t="s">
        <v>28</v>
      </c>
      <c r="C35" s="609" t="s">
        <v>78</v>
      </c>
      <c r="D35" s="610"/>
      <c r="E35" s="611"/>
      <c r="F35" s="159">
        <f>F31</f>
        <v>36828417.82</v>
      </c>
      <c r="G35" s="324">
        <f>ROUNDUP(F35*2.9%,0)-0.82</f>
        <v>1068024.18</v>
      </c>
      <c r="H35" s="6"/>
    </row>
    <row r="36" spans="1:8" ht="33" customHeight="1" hidden="1">
      <c r="A36" s="6"/>
      <c r="B36" s="118" t="s">
        <v>29</v>
      </c>
      <c r="C36" s="609" t="s">
        <v>79</v>
      </c>
      <c r="D36" s="610"/>
      <c r="E36" s="611"/>
      <c r="F36" s="159"/>
      <c r="G36" s="324"/>
      <c r="H36" s="6"/>
    </row>
    <row r="37" spans="1:8" ht="48" customHeight="1">
      <c r="A37" s="6"/>
      <c r="B37" s="118" t="s">
        <v>29</v>
      </c>
      <c r="C37" s="609" t="s">
        <v>76</v>
      </c>
      <c r="D37" s="610"/>
      <c r="E37" s="611"/>
      <c r="F37" s="159">
        <f>F35</f>
        <v>36828417.82</v>
      </c>
      <c r="G37" s="324">
        <f>ROUNDUP(F37*0.2%,0)</f>
        <v>73657</v>
      </c>
      <c r="H37" s="6"/>
    </row>
    <row r="38" spans="1:8" ht="46.5" customHeight="1" hidden="1">
      <c r="A38" s="6"/>
      <c r="B38" s="118" t="s">
        <v>31</v>
      </c>
      <c r="C38" s="609" t="s">
        <v>80</v>
      </c>
      <c r="D38" s="610"/>
      <c r="E38" s="611"/>
      <c r="F38" s="159"/>
      <c r="G38" s="324"/>
      <c r="H38" s="6"/>
    </row>
    <row r="39" spans="1:8" ht="45" customHeight="1" hidden="1">
      <c r="A39" s="6"/>
      <c r="B39" s="118" t="s">
        <v>32</v>
      </c>
      <c r="C39" s="609" t="s">
        <v>80</v>
      </c>
      <c r="D39" s="610"/>
      <c r="E39" s="611"/>
      <c r="F39" s="159"/>
      <c r="G39" s="324"/>
      <c r="H39" s="6"/>
    </row>
    <row r="40" spans="1:8" ht="36.75" customHeight="1">
      <c r="A40" s="6"/>
      <c r="B40" s="118" t="s">
        <v>38</v>
      </c>
      <c r="C40" s="609" t="s">
        <v>39</v>
      </c>
      <c r="D40" s="610"/>
      <c r="E40" s="611"/>
      <c r="F40" s="159">
        <f>F37</f>
        <v>36828417.82</v>
      </c>
      <c r="G40" s="324">
        <f>ROUNDDOWN(F40*5.1%,0)</f>
        <v>1878249</v>
      </c>
      <c r="H40" s="6"/>
    </row>
    <row r="41" spans="2:7" ht="16.5" customHeight="1" hidden="1">
      <c r="B41" s="612" t="s">
        <v>927</v>
      </c>
      <c r="C41" s="612"/>
      <c r="D41" s="612"/>
      <c r="E41" s="612"/>
      <c r="F41" s="612"/>
      <c r="G41" s="454">
        <v>0</v>
      </c>
    </row>
    <row r="42" spans="1:8" ht="15">
      <c r="A42" s="6"/>
      <c r="B42" s="574" t="s">
        <v>72</v>
      </c>
      <c r="C42" s="575"/>
      <c r="D42" s="575"/>
      <c r="E42" s="576"/>
      <c r="F42" s="118" t="s">
        <v>35</v>
      </c>
      <c r="G42" s="180">
        <f>G30+G34+G40+G41</f>
        <v>11122182.18</v>
      </c>
      <c r="H42" s="6"/>
    </row>
    <row r="43" spans="1:8" ht="15">
      <c r="A43" s="6"/>
      <c r="B43" s="328"/>
      <c r="H43" s="6"/>
    </row>
    <row r="44" spans="1:8" ht="15">
      <c r="A44" s="6"/>
      <c r="B44" s="328" t="s">
        <v>557</v>
      </c>
      <c r="H44" s="6"/>
    </row>
    <row r="45" spans="1:8" ht="15" hidden="1">
      <c r="A45" s="6"/>
      <c r="B45" s="559" t="s">
        <v>263</v>
      </c>
      <c r="C45" s="559"/>
      <c r="D45" s="559"/>
      <c r="E45" s="559"/>
      <c r="F45" s="559"/>
      <c r="G45" s="559"/>
      <c r="H45" s="6"/>
    </row>
    <row r="46" spans="1:8" ht="15" hidden="1">
      <c r="A46" s="6"/>
      <c r="B46" s="163"/>
      <c r="C46" s="163"/>
      <c r="D46" s="163"/>
      <c r="E46" s="163"/>
      <c r="F46" s="163"/>
      <c r="G46" s="164"/>
      <c r="H46" s="6"/>
    </row>
    <row r="47" spans="1:8" ht="15" hidden="1">
      <c r="A47" s="6"/>
      <c r="B47" s="608" t="s">
        <v>220</v>
      </c>
      <c r="C47" s="608"/>
      <c r="D47" s="608"/>
      <c r="E47" s="608"/>
      <c r="F47" s="608"/>
      <c r="G47" s="608"/>
      <c r="H47" s="6"/>
    </row>
    <row r="48" spans="1:8" ht="15" hidden="1">
      <c r="A48" s="6"/>
      <c r="B48" s="163"/>
      <c r="C48" s="165"/>
      <c r="D48" s="163"/>
      <c r="E48" s="163"/>
      <c r="F48" s="163"/>
      <c r="G48" s="163"/>
      <c r="H48" s="6"/>
    </row>
    <row r="49" spans="1:8" ht="78" hidden="1">
      <c r="A49" s="6"/>
      <c r="B49" s="50" t="s">
        <v>33</v>
      </c>
      <c r="C49" s="530" t="s">
        <v>40</v>
      </c>
      <c r="D49" s="530"/>
      <c r="E49" s="50" t="s">
        <v>41</v>
      </c>
      <c r="F49" s="50" t="s">
        <v>42</v>
      </c>
      <c r="G49" s="50" t="s">
        <v>43</v>
      </c>
      <c r="H49" s="6"/>
    </row>
    <row r="50" spans="1:8" ht="15" hidden="1">
      <c r="A50" s="6"/>
      <c r="B50" s="50">
        <v>1</v>
      </c>
      <c r="C50" s="530">
        <v>2</v>
      </c>
      <c r="D50" s="530"/>
      <c r="E50" s="50">
        <v>3</v>
      </c>
      <c r="F50" s="50">
        <v>4</v>
      </c>
      <c r="G50" s="50">
        <v>5</v>
      </c>
      <c r="H50" s="6"/>
    </row>
    <row r="51" spans="2:7" ht="42.75" customHeight="1" hidden="1">
      <c r="B51" s="50"/>
      <c r="C51" s="609"/>
      <c r="D51" s="611"/>
      <c r="E51" s="216"/>
      <c r="F51" s="216"/>
      <c r="G51" s="123">
        <v>0</v>
      </c>
    </row>
    <row r="52" spans="2:7" ht="17.25" customHeight="1" hidden="1">
      <c r="B52" s="50"/>
      <c r="C52" s="567"/>
      <c r="D52" s="567"/>
      <c r="E52" s="216"/>
      <c r="F52" s="216"/>
      <c r="G52" s="123">
        <v>0</v>
      </c>
    </row>
    <row r="53" spans="1:8" s="7" customFormat="1" ht="15" hidden="1">
      <c r="A53" s="166"/>
      <c r="B53" s="585" t="s">
        <v>223</v>
      </c>
      <c r="C53" s="586"/>
      <c r="D53" s="587"/>
      <c r="E53" s="25"/>
      <c r="F53" s="122"/>
      <c r="G53" s="167">
        <f>SUM(G51:G52)</f>
        <v>0</v>
      </c>
      <c r="H53" s="166"/>
    </row>
    <row r="54" ht="15" hidden="1"/>
    <row r="55" spans="2:8" ht="15" hidden="1">
      <c r="B55" s="559" t="s">
        <v>264</v>
      </c>
      <c r="C55" s="559"/>
      <c r="D55" s="559"/>
      <c r="E55" s="559"/>
      <c r="F55" s="559"/>
      <c r="G55" s="559"/>
      <c r="H55" s="168"/>
    </row>
    <row r="56" spans="2:8" ht="15" hidden="1">
      <c r="B56" s="162"/>
      <c r="C56" s="162"/>
      <c r="D56" s="162"/>
      <c r="E56" s="162"/>
      <c r="F56" s="162"/>
      <c r="G56" s="162"/>
      <c r="H56" s="168"/>
    </row>
    <row r="57" spans="2:8" ht="15" hidden="1">
      <c r="B57" s="608" t="s">
        <v>221</v>
      </c>
      <c r="C57" s="608"/>
      <c r="D57" s="608"/>
      <c r="E57" s="608"/>
      <c r="F57" s="608"/>
      <c r="G57" s="608"/>
      <c r="H57" s="168"/>
    </row>
    <row r="58" spans="1:8" s="8" customFormat="1" ht="15" hidden="1">
      <c r="A58" s="147"/>
      <c r="B58" s="559" t="s">
        <v>265</v>
      </c>
      <c r="C58" s="559"/>
      <c r="D58" s="559"/>
      <c r="E58" s="559"/>
      <c r="F58" s="559"/>
      <c r="G58" s="559"/>
      <c r="H58" s="163"/>
    </row>
    <row r="59" spans="1:8" s="8" customFormat="1" ht="15" hidden="1">
      <c r="A59" s="147"/>
      <c r="B59" s="163"/>
      <c r="C59" s="163"/>
      <c r="D59" s="164"/>
      <c r="E59" s="163"/>
      <c r="F59" s="163"/>
      <c r="G59" s="163"/>
      <c r="H59" s="163"/>
    </row>
    <row r="60" spans="1:8" s="8" customFormat="1" ht="30.75" hidden="1">
      <c r="A60" s="147"/>
      <c r="B60" s="50" t="s">
        <v>33</v>
      </c>
      <c r="C60" s="50" t="s">
        <v>40</v>
      </c>
      <c r="D60" s="50" t="s">
        <v>44</v>
      </c>
      <c r="E60" s="50" t="s">
        <v>45</v>
      </c>
      <c r="F60" s="50" t="s">
        <v>46</v>
      </c>
      <c r="G60" s="50" t="s">
        <v>47</v>
      </c>
      <c r="H60" s="163"/>
    </row>
    <row r="61" spans="1:8" s="8" customFormat="1" ht="15" hidden="1">
      <c r="A61" s="147"/>
      <c r="B61" s="50">
        <v>1</v>
      </c>
      <c r="C61" s="50">
        <v>2</v>
      </c>
      <c r="D61" s="50">
        <v>3</v>
      </c>
      <c r="E61" s="50">
        <v>4</v>
      </c>
      <c r="F61" s="50">
        <v>5</v>
      </c>
      <c r="G61" s="50">
        <v>6</v>
      </c>
      <c r="H61" s="163"/>
    </row>
    <row r="62" spans="1:8" s="8" customFormat="1" ht="15" hidden="1">
      <c r="A62" s="147"/>
      <c r="B62" s="50"/>
      <c r="C62" s="36"/>
      <c r="D62" s="50"/>
      <c r="E62" s="50"/>
      <c r="F62" s="170"/>
      <c r="G62" s="170"/>
      <c r="H62" s="163"/>
    </row>
    <row r="63" spans="1:8" s="8" customFormat="1" ht="15.75" customHeight="1" hidden="1">
      <c r="A63" s="147"/>
      <c r="B63" s="585" t="s">
        <v>70</v>
      </c>
      <c r="C63" s="586"/>
      <c r="D63" s="586"/>
      <c r="E63" s="586"/>
      <c r="F63" s="587"/>
      <c r="G63" s="122">
        <f>SUM(G62:G62)</f>
        <v>0</v>
      </c>
      <c r="H63" s="163"/>
    </row>
    <row r="64" spans="1:8" s="8" customFormat="1" ht="15.75" customHeight="1" hidden="1">
      <c r="A64" s="147"/>
      <c r="B64" s="171"/>
      <c r="C64" s="171"/>
      <c r="D64" s="171"/>
      <c r="E64" s="171"/>
      <c r="F64" s="171"/>
      <c r="G64" s="178"/>
      <c r="H64" s="163"/>
    </row>
    <row r="65" spans="1:8" s="8" customFormat="1" ht="15.75" customHeight="1" hidden="1">
      <c r="A65" s="147"/>
      <c r="B65" s="559" t="s">
        <v>266</v>
      </c>
      <c r="C65" s="559"/>
      <c r="D65" s="559"/>
      <c r="E65" s="559"/>
      <c r="F65" s="559"/>
      <c r="G65" s="559"/>
      <c r="H65" s="163"/>
    </row>
    <row r="66" spans="1:8" s="8" customFormat="1" ht="15.75" customHeight="1" hidden="1">
      <c r="A66" s="147"/>
      <c r="B66" s="163"/>
      <c r="C66" s="163"/>
      <c r="D66" s="164"/>
      <c r="E66" s="163"/>
      <c r="F66" s="163"/>
      <c r="G66" s="163"/>
      <c r="H66" s="163"/>
    </row>
    <row r="67" spans="1:8" s="8" customFormat="1" ht="33" customHeight="1" hidden="1">
      <c r="A67" s="147"/>
      <c r="B67" s="50" t="s">
        <v>33</v>
      </c>
      <c r="C67" s="50" t="s">
        <v>40</v>
      </c>
      <c r="D67" s="50" t="s">
        <v>283</v>
      </c>
      <c r="E67" s="533" t="s">
        <v>284</v>
      </c>
      <c r="F67" s="535"/>
      <c r="G67" s="50" t="s">
        <v>47</v>
      </c>
      <c r="H67" s="163"/>
    </row>
    <row r="68" spans="1:8" s="8" customFormat="1" ht="15.75" customHeight="1" hidden="1">
      <c r="A68" s="147"/>
      <c r="B68" s="50">
        <v>1</v>
      </c>
      <c r="C68" s="50">
        <v>2</v>
      </c>
      <c r="D68" s="50">
        <v>3</v>
      </c>
      <c r="E68" s="533">
        <v>4</v>
      </c>
      <c r="F68" s="535"/>
      <c r="G68" s="50">
        <v>5</v>
      </c>
      <c r="H68" s="163"/>
    </row>
    <row r="69" spans="1:8" s="8" customFormat="1" ht="15.75" customHeight="1" hidden="1">
      <c r="A69" s="147"/>
      <c r="B69" s="50"/>
      <c r="C69" s="50"/>
      <c r="D69" s="50"/>
      <c r="E69" s="533"/>
      <c r="F69" s="535"/>
      <c r="G69" s="50"/>
      <c r="H69" s="163"/>
    </row>
    <row r="70" spans="1:8" s="8" customFormat="1" ht="15.75" customHeight="1" hidden="1">
      <c r="A70" s="147"/>
      <c r="B70" s="50"/>
      <c r="C70" s="36"/>
      <c r="D70" s="50"/>
      <c r="E70" s="533"/>
      <c r="F70" s="535"/>
      <c r="G70" s="123"/>
      <c r="H70" s="163"/>
    </row>
    <row r="71" spans="1:8" s="8" customFormat="1" ht="15.75" customHeight="1" hidden="1">
      <c r="A71" s="147"/>
      <c r="B71" s="585" t="s">
        <v>226</v>
      </c>
      <c r="C71" s="586"/>
      <c r="D71" s="586"/>
      <c r="E71" s="586"/>
      <c r="F71" s="587"/>
      <c r="G71" s="122">
        <f>SUM(G70:G70)</f>
        <v>0</v>
      </c>
      <c r="H71" s="163"/>
    </row>
    <row r="72" spans="1:8" s="8" customFormat="1" ht="15" hidden="1">
      <c r="A72" s="147"/>
      <c r="B72" s="171"/>
      <c r="C72" s="171"/>
      <c r="D72" s="171"/>
      <c r="E72" s="171"/>
      <c r="F72" s="171"/>
      <c r="G72" s="171"/>
      <c r="H72" s="163"/>
    </row>
    <row r="73" spans="1:8" s="8" customFormat="1" ht="21" customHeight="1" hidden="1">
      <c r="A73" s="147"/>
      <c r="B73" s="621" t="s">
        <v>267</v>
      </c>
      <c r="C73" s="621"/>
      <c r="D73" s="621"/>
      <c r="E73" s="621"/>
      <c r="F73" s="621"/>
      <c r="G73" s="621"/>
      <c r="H73" s="163"/>
    </row>
    <row r="74" spans="1:8" s="8" customFormat="1" ht="15" hidden="1">
      <c r="A74" s="147"/>
      <c r="B74" s="163"/>
      <c r="C74" s="163"/>
      <c r="D74" s="164"/>
      <c r="E74" s="163"/>
      <c r="F74" s="163"/>
      <c r="G74" s="163"/>
      <c r="H74" s="163"/>
    </row>
    <row r="75" spans="1:8" s="8" customFormat="1" ht="46.5" hidden="1">
      <c r="A75" s="147"/>
      <c r="B75" s="50" t="s">
        <v>33</v>
      </c>
      <c r="C75" s="50" t="s">
        <v>40</v>
      </c>
      <c r="D75" s="50" t="s">
        <v>84</v>
      </c>
      <c r="E75" s="50" t="s">
        <v>48</v>
      </c>
      <c r="F75" s="50" t="s">
        <v>49</v>
      </c>
      <c r="G75" s="50" t="s">
        <v>47</v>
      </c>
      <c r="H75" s="163"/>
    </row>
    <row r="76" spans="1:8" s="8" customFormat="1" ht="15" hidden="1">
      <c r="A76" s="147"/>
      <c r="B76" s="50">
        <v>1</v>
      </c>
      <c r="C76" s="50">
        <v>2</v>
      </c>
      <c r="D76" s="50">
        <v>3</v>
      </c>
      <c r="E76" s="50">
        <v>4</v>
      </c>
      <c r="F76" s="50">
        <v>5</v>
      </c>
      <c r="G76" s="50">
        <v>6</v>
      </c>
      <c r="H76" s="163"/>
    </row>
    <row r="77" spans="1:8" s="8" customFormat="1" ht="15" hidden="1">
      <c r="A77" s="147"/>
      <c r="B77" s="50"/>
      <c r="C77" s="217"/>
      <c r="D77" s="170"/>
      <c r="E77" s="50"/>
      <c r="F77" s="50"/>
      <c r="G77" s="170"/>
      <c r="H77" s="163"/>
    </row>
    <row r="78" spans="1:8" s="9" customFormat="1" ht="15.75" customHeight="1" hidden="1">
      <c r="A78" s="172"/>
      <c r="B78" s="585" t="s">
        <v>73</v>
      </c>
      <c r="C78" s="586"/>
      <c r="D78" s="586"/>
      <c r="E78" s="586"/>
      <c r="F78" s="587"/>
      <c r="G78" s="122">
        <f>SUM(G77:G77)</f>
        <v>0</v>
      </c>
      <c r="H78" s="22"/>
    </row>
    <row r="79" spans="1:8" s="9" customFormat="1" ht="15.75" customHeight="1" hidden="1">
      <c r="A79" s="172"/>
      <c r="B79" s="171"/>
      <c r="C79" s="171"/>
      <c r="D79" s="171"/>
      <c r="E79" s="171"/>
      <c r="F79" s="171"/>
      <c r="G79" s="178"/>
      <c r="H79" s="22"/>
    </row>
    <row r="80" spans="1:8" s="9" customFormat="1" ht="15.75" customHeight="1" hidden="1">
      <c r="A80" s="172"/>
      <c r="B80" s="582" t="s">
        <v>268</v>
      </c>
      <c r="C80" s="582"/>
      <c r="D80" s="582"/>
      <c r="E80" s="582"/>
      <c r="F80" s="582"/>
      <c r="G80" s="582"/>
      <c r="H80" s="22"/>
    </row>
    <row r="81" spans="1:8" s="9" customFormat="1" ht="15.75" customHeight="1" hidden="1">
      <c r="A81" s="172"/>
      <c r="B81" s="163"/>
      <c r="C81" s="163"/>
      <c r="D81" s="164"/>
      <c r="E81" s="163"/>
      <c r="F81" s="163"/>
      <c r="G81" s="163"/>
      <c r="H81" s="22"/>
    </row>
    <row r="82" spans="1:8" s="9" customFormat="1" ht="32.25" customHeight="1" hidden="1">
      <c r="A82" s="172"/>
      <c r="B82" s="50" t="s">
        <v>33</v>
      </c>
      <c r="C82" s="50" t="s">
        <v>40</v>
      </c>
      <c r="D82" s="50" t="s">
        <v>54</v>
      </c>
      <c r="E82" s="27" t="s">
        <v>285</v>
      </c>
      <c r="F82" s="50" t="s">
        <v>47</v>
      </c>
      <c r="G82" s="8"/>
      <c r="H82" s="22"/>
    </row>
    <row r="83" spans="1:8" s="9" customFormat="1" ht="15.75" customHeight="1" hidden="1">
      <c r="A83" s="172"/>
      <c r="B83" s="118">
        <v>1</v>
      </c>
      <c r="C83" s="118">
        <v>2</v>
      </c>
      <c r="D83" s="118">
        <v>3</v>
      </c>
      <c r="E83" s="158">
        <v>4</v>
      </c>
      <c r="F83" s="50">
        <v>5</v>
      </c>
      <c r="G83" s="8"/>
      <c r="H83" s="22"/>
    </row>
    <row r="84" spans="1:8" s="9" customFormat="1" ht="15.75" customHeight="1" hidden="1">
      <c r="A84" s="172"/>
      <c r="B84" s="118"/>
      <c r="C84" s="50"/>
      <c r="D84" s="118"/>
      <c r="E84" s="158"/>
      <c r="F84" s="187"/>
      <c r="G84" s="8"/>
      <c r="H84" s="22"/>
    </row>
    <row r="85" spans="1:8" s="8" customFormat="1" ht="15" hidden="1">
      <c r="A85" s="147"/>
      <c r="B85" s="574" t="s">
        <v>227</v>
      </c>
      <c r="C85" s="575"/>
      <c r="D85" s="575"/>
      <c r="E85" s="576"/>
      <c r="F85" s="122">
        <f>SUM(F84:F84)</f>
        <v>0</v>
      </c>
      <c r="G85" s="9"/>
      <c r="H85" s="163"/>
    </row>
    <row r="86" spans="1:8" s="8" customFormat="1" ht="15" hidden="1">
      <c r="A86" s="147"/>
      <c r="B86" s="176"/>
      <c r="C86" s="176"/>
      <c r="D86" s="176"/>
      <c r="E86" s="176"/>
      <c r="F86" s="178"/>
      <c r="G86" s="9"/>
      <c r="H86" s="163"/>
    </row>
    <row r="87" spans="1:8" s="8" customFormat="1" ht="15">
      <c r="A87" s="147"/>
      <c r="B87" s="582" t="s">
        <v>269</v>
      </c>
      <c r="C87" s="582"/>
      <c r="D87" s="582"/>
      <c r="E87" s="582"/>
      <c r="F87" s="582"/>
      <c r="G87" s="582"/>
      <c r="H87" s="163"/>
    </row>
    <row r="88" spans="1:8" s="8" customFormat="1" ht="32.25" customHeight="1">
      <c r="A88" s="147"/>
      <c r="B88" s="50" t="s">
        <v>33</v>
      </c>
      <c r="C88" s="50" t="s">
        <v>40</v>
      </c>
      <c r="D88" s="50" t="s">
        <v>50</v>
      </c>
      <c r="E88" s="27" t="s">
        <v>51</v>
      </c>
      <c r="F88" s="50" t="s">
        <v>47</v>
      </c>
      <c r="H88" s="163"/>
    </row>
    <row r="89" spans="1:8" s="8" customFormat="1" ht="15" customHeight="1">
      <c r="A89" s="147"/>
      <c r="B89" s="50">
        <v>1</v>
      </c>
      <c r="C89" s="50">
        <v>2</v>
      </c>
      <c r="D89" s="50">
        <v>3</v>
      </c>
      <c r="E89" s="27">
        <v>4</v>
      </c>
      <c r="F89" s="50">
        <v>5</v>
      </c>
      <c r="H89" s="163"/>
    </row>
    <row r="90" spans="1:8" s="8" customFormat="1" ht="15">
      <c r="A90" s="147"/>
      <c r="B90" s="118">
        <v>1</v>
      </c>
      <c r="C90" s="36" t="s">
        <v>398</v>
      </c>
      <c r="D90" s="118">
        <v>1</v>
      </c>
      <c r="E90" s="158">
        <v>12</v>
      </c>
      <c r="F90" s="123">
        <v>50000</v>
      </c>
      <c r="H90" s="174"/>
    </row>
    <row r="91" spans="1:8" s="8" customFormat="1" ht="93">
      <c r="A91" s="147"/>
      <c r="B91" s="118">
        <v>2</v>
      </c>
      <c r="C91" s="36" t="s">
        <v>640</v>
      </c>
      <c r="D91" s="118">
        <v>1</v>
      </c>
      <c r="E91" s="158">
        <v>12</v>
      </c>
      <c r="F91" s="123">
        <v>30000</v>
      </c>
      <c r="H91" s="174"/>
    </row>
    <row r="92" spans="1:8" s="9" customFormat="1" ht="15">
      <c r="A92" s="172"/>
      <c r="B92" s="574" t="s">
        <v>69</v>
      </c>
      <c r="C92" s="575"/>
      <c r="D92" s="575"/>
      <c r="E92" s="576"/>
      <c r="F92" s="122">
        <f>SUM(F90:F91)</f>
        <v>80000</v>
      </c>
      <c r="H92" s="175"/>
    </row>
    <row r="93" spans="1:8" s="8" customFormat="1" ht="23.25" customHeight="1">
      <c r="A93" s="147"/>
      <c r="B93" s="559" t="s">
        <v>270</v>
      </c>
      <c r="C93" s="559"/>
      <c r="D93" s="559"/>
      <c r="E93" s="559"/>
      <c r="F93" s="559"/>
      <c r="G93" s="559"/>
      <c r="H93" s="163"/>
    </row>
    <row r="94" spans="1:8" s="8" customFormat="1" ht="30.75">
      <c r="A94" s="147"/>
      <c r="B94" s="50" t="s">
        <v>33</v>
      </c>
      <c r="C94" s="533" t="s">
        <v>40</v>
      </c>
      <c r="D94" s="534"/>
      <c r="E94" s="535"/>
      <c r="F94" s="50" t="s">
        <v>52</v>
      </c>
      <c r="G94" s="50" t="s">
        <v>53</v>
      </c>
      <c r="H94" s="163"/>
    </row>
    <row r="95" spans="1:8" s="8" customFormat="1" ht="15">
      <c r="A95" s="147"/>
      <c r="B95" s="50">
        <v>1</v>
      </c>
      <c r="C95" s="533">
        <v>2</v>
      </c>
      <c r="D95" s="534"/>
      <c r="E95" s="535"/>
      <c r="F95" s="50">
        <v>3</v>
      </c>
      <c r="G95" s="50">
        <v>4</v>
      </c>
      <c r="H95" s="163"/>
    </row>
    <row r="96" spans="1:8" s="8" customFormat="1" ht="15">
      <c r="A96" s="147"/>
      <c r="B96" s="118">
        <v>1</v>
      </c>
      <c r="C96" s="571" t="s">
        <v>314</v>
      </c>
      <c r="D96" s="572"/>
      <c r="E96" s="573"/>
      <c r="F96" s="173" t="s">
        <v>313</v>
      </c>
      <c r="G96" s="179">
        <v>20000</v>
      </c>
      <c r="H96" s="174"/>
    </row>
    <row r="97" spans="1:8" s="8" customFormat="1" ht="15">
      <c r="A97" s="147"/>
      <c r="B97" s="118">
        <v>2</v>
      </c>
      <c r="C97" s="571" t="s">
        <v>400</v>
      </c>
      <c r="D97" s="572"/>
      <c r="E97" s="573"/>
      <c r="F97" s="173" t="s">
        <v>313</v>
      </c>
      <c r="G97" s="179">
        <v>93000</v>
      </c>
      <c r="H97" s="174"/>
    </row>
    <row r="98" spans="1:8" s="8" customFormat="1" ht="15">
      <c r="A98" s="147"/>
      <c r="B98" s="118">
        <v>3</v>
      </c>
      <c r="C98" s="571" t="s">
        <v>929</v>
      </c>
      <c r="D98" s="572"/>
      <c r="E98" s="573"/>
      <c r="F98" s="173" t="s">
        <v>313</v>
      </c>
      <c r="G98" s="179">
        <v>3992160</v>
      </c>
      <c r="H98" s="174"/>
    </row>
    <row r="99" spans="1:8" s="8" customFormat="1" ht="15" hidden="1">
      <c r="A99" s="147"/>
      <c r="B99" s="118">
        <v>4</v>
      </c>
      <c r="C99" s="571" t="s">
        <v>515</v>
      </c>
      <c r="D99" s="572"/>
      <c r="E99" s="573"/>
      <c r="F99" s="173" t="s">
        <v>313</v>
      </c>
      <c r="G99" s="179"/>
      <c r="H99" s="174"/>
    </row>
    <row r="100" spans="1:8" s="8" customFormat="1" ht="15">
      <c r="A100" s="147"/>
      <c r="B100" s="574" t="s">
        <v>71</v>
      </c>
      <c r="C100" s="575"/>
      <c r="D100" s="575"/>
      <c r="E100" s="575"/>
      <c r="F100" s="576"/>
      <c r="G100" s="180">
        <f>SUM(G96:G99)</f>
        <v>4105160</v>
      </c>
      <c r="H100" s="163"/>
    </row>
    <row r="101" spans="1:8" s="8" customFormat="1" ht="17.25" customHeight="1" hidden="1">
      <c r="A101" s="147"/>
      <c r="B101" s="561" t="s">
        <v>271</v>
      </c>
      <c r="C101" s="561"/>
      <c r="D101" s="561"/>
      <c r="E101" s="561"/>
      <c r="F101" s="561"/>
      <c r="G101" s="561"/>
      <c r="H101" s="163"/>
    </row>
    <row r="102" spans="1:8" s="8" customFormat="1" ht="15" hidden="1">
      <c r="A102" s="147"/>
      <c r="B102" s="206"/>
      <c r="C102" s="206"/>
      <c r="D102" s="206"/>
      <c r="E102" s="206"/>
      <c r="F102" s="206"/>
      <c r="G102" s="206"/>
      <c r="H102" s="163"/>
    </row>
    <row r="103" spans="1:8" s="8" customFormat="1" ht="30.75" hidden="1">
      <c r="A103" s="147"/>
      <c r="B103" s="50" t="s">
        <v>33</v>
      </c>
      <c r="C103" s="530" t="s">
        <v>40</v>
      </c>
      <c r="D103" s="530"/>
      <c r="E103" s="50" t="s">
        <v>54</v>
      </c>
      <c r="F103" s="50" t="s">
        <v>55</v>
      </c>
      <c r="G103" s="50" t="s">
        <v>47</v>
      </c>
      <c r="H103" s="163"/>
    </row>
    <row r="104" spans="1:8" s="8" customFormat="1" ht="15" hidden="1">
      <c r="A104" s="147"/>
      <c r="B104" s="26">
        <v>1</v>
      </c>
      <c r="C104" s="615">
        <v>2</v>
      </c>
      <c r="D104" s="616"/>
      <c r="E104" s="26">
        <v>3</v>
      </c>
      <c r="F104" s="26">
        <v>4</v>
      </c>
      <c r="G104" s="50">
        <v>5</v>
      </c>
      <c r="H104" s="163"/>
    </row>
    <row r="105" spans="1:8" s="8" customFormat="1" ht="15" hidden="1">
      <c r="A105" s="147"/>
      <c r="B105" s="26"/>
      <c r="C105" s="563"/>
      <c r="D105" s="564"/>
      <c r="E105" s="26"/>
      <c r="F105" s="26"/>
      <c r="G105" s="50"/>
      <c r="H105" s="163"/>
    </row>
    <row r="106" spans="1:8" s="8" customFormat="1" ht="15" hidden="1">
      <c r="A106" s="147"/>
      <c r="B106" s="26"/>
      <c r="C106" s="569"/>
      <c r="D106" s="569"/>
      <c r="E106" s="173"/>
      <c r="F106" s="184"/>
      <c r="G106" s="184"/>
      <c r="H106" s="174"/>
    </row>
    <row r="107" spans="1:8" s="8" customFormat="1" ht="15" hidden="1">
      <c r="A107" s="147"/>
      <c r="B107" s="574" t="s">
        <v>60</v>
      </c>
      <c r="C107" s="575"/>
      <c r="D107" s="575"/>
      <c r="E107" s="575"/>
      <c r="F107" s="576"/>
      <c r="G107" s="161">
        <f>SUM(G105)</f>
        <v>0</v>
      </c>
      <c r="H107" s="174"/>
    </row>
    <row r="108" spans="1:8" s="8" customFormat="1" ht="15" hidden="1">
      <c r="A108" s="147"/>
      <c r="B108" s="181"/>
      <c r="C108" s="182"/>
      <c r="D108" s="182"/>
      <c r="E108" s="182"/>
      <c r="F108" s="181"/>
      <c r="G108" s="183"/>
      <c r="H108" s="174"/>
    </row>
    <row r="109" spans="1:8" s="8" customFormat="1" ht="15" hidden="1">
      <c r="A109" s="147"/>
      <c r="B109" s="562" t="s">
        <v>272</v>
      </c>
      <c r="C109" s="562"/>
      <c r="D109" s="562"/>
      <c r="E109" s="562"/>
      <c r="F109" s="562"/>
      <c r="G109" s="562"/>
      <c r="H109" s="174"/>
    </row>
    <row r="110" spans="1:8" s="8" customFormat="1" ht="15" hidden="1">
      <c r="A110" s="147"/>
      <c r="B110" s="181"/>
      <c r="C110" s="182"/>
      <c r="D110" s="182"/>
      <c r="E110" s="182"/>
      <c r="F110" s="181"/>
      <c r="G110" s="183"/>
      <c r="H110" s="174"/>
    </row>
    <row r="111" spans="1:8" s="8" customFormat="1" ht="30.75" hidden="1">
      <c r="A111" s="147"/>
      <c r="B111" s="50" t="s">
        <v>33</v>
      </c>
      <c r="C111" s="533" t="s">
        <v>40</v>
      </c>
      <c r="D111" s="534"/>
      <c r="E111" s="535"/>
      <c r="F111" s="50" t="s">
        <v>52</v>
      </c>
      <c r="G111" s="50" t="s">
        <v>53</v>
      </c>
      <c r="H111" s="174"/>
    </row>
    <row r="112" spans="1:8" s="8" customFormat="1" ht="15" hidden="1">
      <c r="A112" s="147"/>
      <c r="B112" s="118"/>
      <c r="C112" s="571"/>
      <c r="D112" s="617"/>
      <c r="E112" s="618"/>
      <c r="F112" s="173"/>
      <c r="G112" s="184"/>
      <c r="H112" s="174"/>
    </row>
    <row r="113" spans="1:8" s="8" customFormat="1" ht="15" hidden="1">
      <c r="A113" s="147"/>
      <c r="B113" s="118"/>
      <c r="C113" s="571"/>
      <c r="D113" s="617"/>
      <c r="E113" s="618"/>
      <c r="F113" s="173"/>
      <c r="G113" s="184"/>
      <c r="H113" s="174"/>
    </row>
    <row r="114" spans="1:8" s="8" customFormat="1" ht="15" hidden="1">
      <c r="A114" s="147"/>
      <c r="B114" s="574" t="s">
        <v>74</v>
      </c>
      <c r="C114" s="575"/>
      <c r="D114" s="575"/>
      <c r="E114" s="575"/>
      <c r="F114" s="576"/>
      <c r="G114" s="161">
        <f>SUM(G112:G113)</f>
        <v>0</v>
      </c>
      <c r="H114" s="174"/>
    </row>
    <row r="115" spans="1:8" s="8" customFormat="1" ht="15" hidden="1">
      <c r="A115" s="147"/>
      <c r="B115" s="181"/>
      <c r="C115" s="182"/>
      <c r="D115" s="182"/>
      <c r="E115" s="182"/>
      <c r="F115" s="181"/>
      <c r="G115" s="183"/>
      <c r="H115" s="174"/>
    </row>
    <row r="116" spans="1:8" s="8" customFormat="1" ht="15">
      <c r="A116" s="147"/>
      <c r="B116" s="559" t="s">
        <v>273</v>
      </c>
      <c r="C116" s="559"/>
      <c r="D116" s="559"/>
      <c r="E116" s="559"/>
      <c r="F116" s="559"/>
      <c r="G116" s="559"/>
      <c r="H116" s="163"/>
    </row>
    <row r="117" spans="1:8" s="8" customFormat="1" ht="29.25" customHeight="1">
      <c r="A117" s="147"/>
      <c r="B117" s="50" t="s">
        <v>33</v>
      </c>
      <c r="C117" s="533" t="s">
        <v>40</v>
      </c>
      <c r="D117" s="535"/>
      <c r="E117" s="50" t="s">
        <v>54</v>
      </c>
      <c r="F117" s="50" t="s">
        <v>55</v>
      </c>
      <c r="G117" s="50" t="s">
        <v>47</v>
      </c>
      <c r="H117" s="163"/>
    </row>
    <row r="118" spans="1:8" s="8" customFormat="1" ht="15" hidden="1">
      <c r="A118" s="147"/>
      <c r="B118" s="27">
        <v>1</v>
      </c>
      <c r="C118" s="571" t="s">
        <v>514</v>
      </c>
      <c r="D118" s="573"/>
      <c r="E118" s="173">
        <v>4</v>
      </c>
      <c r="F118" s="240">
        <f aca="true" t="shared" si="0" ref="F118:F125">G118/E118</f>
        <v>0</v>
      </c>
      <c r="G118" s="239">
        <f>293859-33000-48100+32424.98+50850+14325-222712-4303.65-51050-32293.33</f>
        <v>0</v>
      </c>
      <c r="H118" s="244"/>
    </row>
    <row r="119" spans="1:8" s="8" customFormat="1" ht="15.75" customHeight="1">
      <c r="A119" s="147"/>
      <c r="B119" s="50">
        <v>1</v>
      </c>
      <c r="C119" s="533">
        <v>2</v>
      </c>
      <c r="D119" s="535"/>
      <c r="E119" s="50">
        <v>3</v>
      </c>
      <c r="F119" s="50">
        <v>4</v>
      </c>
      <c r="G119" s="50">
        <v>5</v>
      </c>
      <c r="H119" s="163"/>
    </row>
    <row r="120" spans="1:8" s="8" customFormat="1" ht="15" customHeight="1">
      <c r="A120" s="147"/>
      <c r="B120" s="27">
        <v>1</v>
      </c>
      <c r="C120" s="571" t="s">
        <v>403</v>
      </c>
      <c r="D120" s="573"/>
      <c r="E120" s="173">
        <v>1500</v>
      </c>
      <c r="F120" s="240">
        <f t="shared" si="0"/>
        <v>903.3333333333334</v>
      </c>
      <c r="G120" s="315">
        <v>1355000</v>
      </c>
      <c r="H120" s="244"/>
    </row>
    <row r="121" spans="1:8" s="8" customFormat="1" ht="27" customHeight="1">
      <c r="A121" s="147"/>
      <c r="B121" s="50">
        <v>2</v>
      </c>
      <c r="C121" s="569" t="s">
        <v>626</v>
      </c>
      <c r="D121" s="570"/>
      <c r="E121" s="173">
        <v>2</v>
      </c>
      <c r="F121" s="240">
        <f t="shared" si="0"/>
        <v>100000</v>
      </c>
      <c r="G121" s="315">
        <v>200000</v>
      </c>
      <c r="H121" s="244"/>
    </row>
    <row r="122" spans="1:8" s="8" customFormat="1" ht="25.5" customHeight="1" hidden="1">
      <c r="A122" s="147"/>
      <c r="B122" s="50">
        <v>2</v>
      </c>
      <c r="C122" s="569" t="s">
        <v>664</v>
      </c>
      <c r="D122" s="570"/>
      <c r="E122" s="173">
        <v>2</v>
      </c>
      <c r="F122" s="240">
        <f t="shared" si="0"/>
        <v>0</v>
      </c>
      <c r="G122" s="315">
        <f>153000-64271.55-57812.4-2100-28816.05</f>
        <v>0</v>
      </c>
      <c r="H122" s="244"/>
    </row>
    <row r="123" spans="1:8" s="8" customFormat="1" ht="24" customHeight="1" hidden="1">
      <c r="A123" s="147"/>
      <c r="B123" s="50">
        <v>4</v>
      </c>
      <c r="C123" s="569" t="s">
        <v>611</v>
      </c>
      <c r="D123" s="570"/>
      <c r="E123" s="173">
        <v>200</v>
      </c>
      <c r="F123" s="240">
        <f t="shared" si="0"/>
        <v>0</v>
      </c>
      <c r="G123" s="315">
        <v>0</v>
      </c>
      <c r="H123" s="244"/>
    </row>
    <row r="124" spans="1:8" s="8" customFormat="1" ht="26.25" customHeight="1" hidden="1">
      <c r="A124" s="147"/>
      <c r="B124" s="50">
        <v>5</v>
      </c>
      <c r="C124" s="569" t="s">
        <v>625</v>
      </c>
      <c r="D124" s="570"/>
      <c r="E124" s="173">
        <v>1</v>
      </c>
      <c r="F124" s="240">
        <f t="shared" si="0"/>
        <v>0</v>
      </c>
      <c r="G124" s="315">
        <v>0</v>
      </c>
      <c r="H124" s="244"/>
    </row>
    <row r="125" spans="1:8" s="8" customFormat="1" ht="27.75" customHeight="1" hidden="1">
      <c r="A125" s="147"/>
      <c r="B125" s="50">
        <v>4</v>
      </c>
      <c r="C125" s="569" t="s">
        <v>664</v>
      </c>
      <c r="D125" s="570"/>
      <c r="E125" s="173">
        <v>1</v>
      </c>
      <c r="F125" s="240">
        <f t="shared" si="0"/>
        <v>0</v>
      </c>
      <c r="G125" s="315">
        <f>100000-100000</f>
        <v>0</v>
      </c>
      <c r="H125" s="244"/>
    </row>
    <row r="126" spans="1:8" s="8" customFormat="1" ht="33.75" customHeight="1" hidden="1">
      <c r="A126" s="147"/>
      <c r="B126" s="50">
        <v>7</v>
      </c>
      <c r="C126" s="569" t="s">
        <v>627</v>
      </c>
      <c r="D126" s="570"/>
      <c r="E126" s="173">
        <v>3</v>
      </c>
      <c r="F126" s="240">
        <f aca="true" t="shared" si="1" ref="F126:F131">G126/E126</f>
        <v>0</v>
      </c>
      <c r="G126" s="315">
        <v>0</v>
      </c>
      <c r="H126" s="244"/>
    </row>
    <row r="127" spans="1:8" s="8" customFormat="1" ht="32.25" customHeight="1" hidden="1">
      <c r="A127" s="147"/>
      <c r="B127" s="50">
        <v>3</v>
      </c>
      <c r="C127" s="569" t="s">
        <v>914</v>
      </c>
      <c r="D127" s="570"/>
      <c r="E127" s="173">
        <v>22</v>
      </c>
      <c r="F127" s="240">
        <f t="shared" si="1"/>
        <v>0</v>
      </c>
      <c r="G127" s="315">
        <v>0</v>
      </c>
      <c r="H127" s="244"/>
    </row>
    <row r="128" spans="1:8" s="8" customFormat="1" ht="15" hidden="1">
      <c r="A128" s="147"/>
      <c r="B128" s="50">
        <v>9</v>
      </c>
      <c r="C128" s="569" t="s">
        <v>628</v>
      </c>
      <c r="D128" s="570"/>
      <c r="E128" s="173">
        <v>5</v>
      </c>
      <c r="F128" s="240">
        <f t="shared" si="1"/>
        <v>0</v>
      </c>
      <c r="G128" s="315">
        <v>0</v>
      </c>
      <c r="H128" s="244"/>
    </row>
    <row r="129" spans="1:8" s="8" customFormat="1" ht="107.25" customHeight="1" hidden="1">
      <c r="A129" s="147"/>
      <c r="B129" s="50">
        <v>10</v>
      </c>
      <c r="C129" s="569" t="s">
        <v>631</v>
      </c>
      <c r="D129" s="570"/>
      <c r="E129" s="173">
        <v>78</v>
      </c>
      <c r="F129" s="240">
        <f t="shared" si="1"/>
        <v>0</v>
      </c>
      <c r="G129" s="315">
        <v>0</v>
      </c>
      <c r="H129" s="244"/>
    </row>
    <row r="130" spans="1:8" s="8" customFormat="1" ht="15" hidden="1">
      <c r="A130" s="147"/>
      <c r="B130" s="50">
        <v>11</v>
      </c>
      <c r="C130" s="569" t="s">
        <v>630</v>
      </c>
      <c r="D130" s="570"/>
      <c r="E130" s="173">
        <v>2</v>
      </c>
      <c r="F130" s="240">
        <f t="shared" si="1"/>
        <v>0</v>
      </c>
      <c r="G130" s="315">
        <v>0</v>
      </c>
      <c r="H130" s="244"/>
    </row>
    <row r="131" spans="1:8" s="8" customFormat="1" ht="15" hidden="1">
      <c r="A131" s="147"/>
      <c r="B131" s="50">
        <v>12</v>
      </c>
      <c r="C131" s="569" t="s">
        <v>634</v>
      </c>
      <c r="D131" s="570"/>
      <c r="E131" s="173">
        <v>4</v>
      </c>
      <c r="F131" s="240">
        <f t="shared" si="1"/>
        <v>0</v>
      </c>
      <c r="G131" s="315">
        <v>0</v>
      </c>
      <c r="H131" s="244"/>
    </row>
    <row r="132" spans="1:8" s="8" customFormat="1" ht="60.75" customHeight="1" hidden="1">
      <c r="A132" s="147"/>
      <c r="B132" s="50">
        <v>4</v>
      </c>
      <c r="C132" s="569" t="s">
        <v>854</v>
      </c>
      <c r="D132" s="570"/>
      <c r="E132" s="173">
        <v>20</v>
      </c>
      <c r="F132" s="240">
        <f>G132/E132</f>
        <v>0</v>
      </c>
      <c r="G132" s="315">
        <f>170000-170000</f>
        <v>0</v>
      </c>
      <c r="H132" s="244"/>
    </row>
    <row r="133" spans="1:8" s="8" customFormat="1" ht="65.25" customHeight="1" hidden="1">
      <c r="A133" s="147"/>
      <c r="B133" s="50">
        <v>4</v>
      </c>
      <c r="C133" s="569" t="s">
        <v>812</v>
      </c>
      <c r="D133" s="570"/>
      <c r="E133" s="173">
        <v>4</v>
      </c>
      <c r="F133" s="240">
        <f>G133/E133</f>
        <v>0</v>
      </c>
      <c r="G133" s="435">
        <f>21000-21000</f>
        <v>0</v>
      </c>
      <c r="H133" s="244"/>
    </row>
    <row r="134" spans="1:8" s="8" customFormat="1" ht="12.75" customHeight="1">
      <c r="A134" s="147"/>
      <c r="B134" s="574" t="s">
        <v>57</v>
      </c>
      <c r="C134" s="575"/>
      <c r="D134" s="575"/>
      <c r="E134" s="575"/>
      <c r="F134" s="576"/>
      <c r="G134" s="68">
        <f>G120+G121+G127</f>
        <v>1555000</v>
      </c>
      <c r="H134" s="244"/>
    </row>
    <row r="135" spans="1:8" s="8" customFormat="1" ht="33" customHeight="1" hidden="1">
      <c r="A135" s="147"/>
      <c r="B135" s="582" t="s">
        <v>274</v>
      </c>
      <c r="C135" s="582"/>
      <c r="D135" s="582"/>
      <c r="E135" s="582"/>
      <c r="F135" s="582"/>
      <c r="G135" s="582"/>
      <c r="H135" s="163"/>
    </row>
    <row r="136" spans="1:8" s="8" customFormat="1" ht="15" hidden="1">
      <c r="A136" s="147"/>
      <c r="B136" s="163"/>
      <c r="C136" s="163"/>
      <c r="D136" s="164"/>
      <c r="E136" s="163"/>
      <c r="F136" s="163"/>
      <c r="G136" s="163"/>
      <c r="H136" s="163"/>
    </row>
    <row r="137" spans="1:8" s="8" customFormat="1" ht="30.75" hidden="1">
      <c r="A137" s="147"/>
      <c r="B137" s="50" t="s">
        <v>33</v>
      </c>
      <c r="C137" s="533" t="s">
        <v>40</v>
      </c>
      <c r="D137" s="535"/>
      <c r="E137" s="50" t="s">
        <v>54</v>
      </c>
      <c r="F137" s="50" t="s">
        <v>55</v>
      </c>
      <c r="G137" s="50" t="s">
        <v>47</v>
      </c>
      <c r="H137" s="163"/>
    </row>
    <row r="138" spans="1:8" s="8" customFormat="1" ht="15" hidden="1">
      <c r="A138" s="147"/>
      <c r="B138" s="194">
        <v>1</v>
      </c>
      <c r="C138" s="580">
        <v>2</v>
      </c>
      <c r="D138" s="581"/>
      <c r="E138" s="193">
        <v>3</v>
      </c>
      <c r="F138" s="193">
        <v>4</v>
      </c>
      <c r="G138" s="30">
        <v>5</v>
      </c>
      <c r="H138" s="163"/>
    </row>
    <row r="139" spans="1:8" s="8" customFormat="1" ht="29.25" customHeight="1" hidden="1">
      <c r="A139" s="147"/>
      <c r="B139" s="27"/>
      <c r="C139" s="619"/>
      <c r="D139" s="627"/>
      <c r="E139" s="173"/>
      <c r="F139" s="179"/>
      <c r="G139" s="123"/>
      <c r="H139" s="163"/>
    </row>
    <row r="140" spans="1:8" s="8" customFormat="1" ht="15" hidden="1">
      <c r="A140" s="147"/>
      <c r="B140" s="574" t="s">
        <v>228</v>
      </c>
      <c r="C140" s="575"/>
      <c r="D140" s="575"/>
      <c r="E140" s="575"/>
      <c r="F140" s="576"/>
      <c r="G140" s="68">
        <f>SUM(G139:G139)</f>
        <v>0</v>
      </c>
      <c r="H140" s="163"/>
    </row>
    <row r="141" ht="15" hidden="1"/>
    <row r="142" spans="1:8" s="8" customFormat="1" ht="15" hidden="1">
      <c r="A142" s="147"/>
      <c r="B142" s="559" t="s">
        <v>275</v>
      </c>
      <c r="C142" s="559"/>
      <c r="D142" s="559"/>
      <c r="E142" s="559"/>
      <c r="F142" s="559"/>
      <c r="G142" s="559"/>
      <c r="H142" s="163"/>
    </row>
    <row r="143" spans="1:8" s="8" customFormat="1" ht="15" hidden="1">
      <c r="A143" s="147"/>
      <c r="B143" s="163"/>
      <c r="C143" s="163"/>
      <c r="D143" s="164"/>
      <c r="E143" s="163"/>
      <c r="F143" s="163"/>
      <c r="G143" s="163"/>
      <c r="H143" s="163"/>
    </row>
    <row r="144" spans="1:8" s="8" customFormat="1" ht="30.75" hidden="1">
      <c r="A144" s="147"/>
      <c r="B144" s="50" t="s">
        <v>33</v>
      </c>
      <c r="C144" s="533" t="s">
        <v>40</v>
      </c>
      <c r="D144" s="535"/>
      <c r="E144" s="50" t="s">
        <v>54</v>
      </c>
      <c r="F144" s="50" t="s">
        <v>55</v>
      </c>
      <c r="G144" s="50" t="s">
        <v>47</v>
      </c>
      <c r="H144" s="163"/>
    </row>
    <row r="145" spans="1:8" s="8" customFormat="1" ht="15" hidden="1">
      <c r="A145" s="147"/>
      <c r="B145" s="194">
        <v>1</v>
      </c>
      <c r="C145" s="580">
        <v>2</v>
      </c>
      <c r="D145" s="581"/>
      <c r="E145" s="193">
        <v>3</v>
      </c>
      <c r="F145" s="193">
        <v>4</v>
      </c>
      <c r="G145" s="30">
        <v>5</v>
      </c>
      <c r="H145" s="163"/>
    </row>
    <row r="146" spans="1:8" s="8" customFormat="1" ht="15" hidden="1">
      <c r="A146" s="147"/>
      <c r="B146" s="50"/>
      <c r="C146" s="569"/>
      <c r="D146" s="570"/>
      <c r="E146" s="173"/>
      <c r="F146" s="179"/>
      <c r="G146" s="123"/>
      <c r="H146" s="163"/>
    </row>
    <row r="147" spans="1:8" s="8" customFormat="1" ht="15" hidden="1">
      <c r="A147" s="147"/>
      <c r="B147" s="574" t="s">
        <v>229</v>
      </c>
      <c r="C147" s="575"/>
      <c r="D147" s="575"/>
      <c r="E147" s="575"/>
      <c r="F147" s="576"/>
      <c r="G147" s="68">
        <f>G146</f>
        <v>0</v>
      </c>
      <c r="H147" s="163"/>
    </row>
    <row r="148" ht="15" hidden="1"/>
    <row r="149" spans="1:8" s="8" customFormat="1" ht="15" hidden="1">
      <c r="A149" s="147"/>
      <c r="B149" s="559" t="s">
        <v>276</v>
      </c>
      <c r="C149" s="559"/>
      <c r="D149" s="559"/>
      <c r="E149" s="559"/>
      <c r="F149" s="559"/>
      <c r="G149" s="559"/>
      <c r="H149" s="163"/>
    </row>
    <row r="150" spans="1:8" s="8" customFormat="1" ht="15" hidden="1">
      <c r="A150" s="147"/>
      <c r="B150" s="163"/>
      <c r="C150" s="163"/>
      <c r="D150" s="164"/>
      <c r="E150" s="163"/>
      <c r="F150" s="163"/>
      <c r="G150" s="163"/>
      <c r="H150" s="163"/>
    </row>
    <row r="151" spans="1:8" s="8" customFormat="1" ht="30.75" hidden="1">
      <c r="A151" s="147"/>
      <c r="B151" s="50" t="s">
        <v>33</v>
      </c>
      <c r="C151" s="533" t="s">
        <v>40</v>
      </c>
      <c r="D151" s="535"/>
      <c r="E151" s="50" t="s">
        <v>54</v>
      </c>
      <c r="F151" s="50" t="s">
        <v>55</v>
      </c>
      <c r="G151" s="50" t="s">
        <v>47</v>
      </c>
      <c r="H151" s="163"/>
    </row>
    <row r="152" spans="1:8" s="8" customFormat="1" ht="15" hidden="1">
      <c r="A152" s="147"/>
      <c r="B152" s="194">
        <v>1</v>
      </c>
      <c r="C152" s="580">
        <v>2</v>
      </c>
      <c r="D152" s="581"/>
      <c r="E152" s="193">
        <v>3</v>
      </c>
      <c r="F152" s="193">
        <v>4</v>
      </c>
      <c r="G152" s="30">
        <v>5</v>
      </c>
      <c r="H152" s="163"/>
    </row>
    <row r="153" spans="1:8" s="8" customFormat="1" ht="15" hidden="1">
      <c r="A153" s="147"/>
      <c r="B153" s="27"/>
      <c r="C153" s="571"/>
      <c r="D153" s="573"/>
      <c r="E153" s="218"/>
      <c r="F153" s="179"/>
      <c r="G153" s="123"/>
      <c r="H153" s="163"/>
    </row>
    <row r="154" spans="1:8" s="8" customFormat="1" ht="15" hidden="1">
      <c r="A154" s="147"/>
      <c r="B154" s="50"/>
      <c r="C154" s="569"/>
      <c r="D154" s="570"/>
      <c r="E154" s="173"/>
      <c r="F154" s="179"/>
      <c r="G154" s="123"/>
      <c r="H154" s="163"/>
    </row>
    <row r="155" spans="1:8" s="8" customFormat="1" ht="15" hidden="1">
      <c r="A155" s="147"/>
      <c r="B155" s="574" t="s">
        <v>230</v>
      </c>
      <c r="C155" s="575"/>
      <c r="D155" s="575"/>
      <c r="E155" s="575"/>
      <c r="F155" s="576"/>
      <c r="G155" s="68">
        <f>G153+G154</f>
        <v>0</v>
      </c>
      <c r="H155" s="163"/>
    </row>
    <row r="156" ht="15" hidden="1"/>
    <row r="157" spans="1:8" s="8" customFormat="1" ht="15" hidden="1">
      <c r="A157" s="147"/>
      <c r="B157" s="559" t="s">
        <v>277</v>
      </c>
      <c r="C157" s="559"/>
      <c r="D157" s="559"/>
      <c r="E157" s="559"/>
      <c r="F157" s="559"/>
      <c r="G157" s="559"/>
      <c r="H157" s="163"/>
    </row>
    <row r="158" spans="1:8" s="8" customFormat="1" ht="15" hidden="1">
      <c r="A158" s="147"/>
      <c r="B158" s="163"/>
      <c r="C158" s="163"/>
      <c r="D158" s="164"/>
      <c r="E158" s="163"/>
      <c r="F158" s="163"/>
      <c r="G158" s="163"/>
      <c r="H158" s="163"/>
    </row>
    <row r="159" spans="1:8" s="8" customFormat="1" ht="30.75" hidden="1">
      <c r="A159" s="147"/>
      <c r="B159" s="50" t="s">
        <v>33</v>
      </c>
      <c r="C159" s="533" t="s">
        <v>40</v>
      </c>
      <c r="D159" s="535"/>
      <c r="E159" s="50" t="s">
        <v>54</v>
      </c>
      <c r="F159" s="50" t="s">
        <v>55</v>
      </c>
      <c r="G159" s="50" t="s">
        <v>47</v>
      </c>
      <c r="H159" s="163"/>
    </row>
    <row r="160" spans="1:8" s="8" customFormat="1" ht="15" hidden="1">
      <c r="A160" s="147"/>
      <c r="B160" s="194">
        <v>1</v>
      </c>
      <c r="C160" s="580">
        <v>2</v>
      </c>
      <c r="D160" s="581"/>
      <c r="E160" s="193">
        <v>3</v>
      </c>
      <c r="F160" s="193">
        <v>4</v>
      </c>
      <c r="G160" s="30">
        <v>5</v>
      </c>
      <c r="H160" s="163"/>
    </row>
    <row r="161" spans="1:8" s="8" customFormat="1" ht="15" hidden="1">
      <c r="A161" s="147"/>
      <c r="B161" s="50"/>
      <c r="C161" s="569"/>
      <c r="D161" s="570"/>
      <c r="E161" s="173"/>
      <c r="F161" s="179"/>
      <c r="G161" s="123"/>
      <c r="H161" s="163"/>
    </row>
    <row r="162" spans="1:8" s="8" customFormat="1" ht="15" hidden="1">
      <c r="A162" s="147"/>
      <c r="B162" s="574" t="s">
        <v>231</v>
      </c>
      <c r="C162" s="575"/>
      <c r="D162" s="575"/>
      <c r="E162" s="575"/>
      <c r="F162" s="576"/>
      <c r="G162" s="68">
        <f>G161</f>
        <v>0</v>
      </c>
      <c r="H162" s="163"/>
    </row>
    <row r="163" ht="15" hidden="1"/>
    <row r="164" spans="1:8" s="8" customFormat="1" ht="15" hidden="1">
      <c r="A164" s="147"/>
      <c r="B164" s="559" t="s">
        <v>278</v>
      </c>
      <c r="C164" s="559"/>
      <c r="D164" s="559"/>
      <c r="E164" s="559"/>
      <c r="F164" s="559"/>
      <c r="G164" s="559"/>
      <c r="H164" s="163"/>
    </row>
    <row r="165" spans="1:8" s="8" customFormat="1" ht="15" hidden="1">
      <c r="A165" s="147"/>
      <c r="B165" s="163"/>
      <c r="C165" s="163"/>
      <c r="D165" s="164"/>
      <c r="E165" s="163"/>
      <c r="F165" s="163"/>
      <c r="G165" s="163"/>
      <c r="H165" s="163"/>
    </row>
    <row r="166" spans="1:8" s="8" customFormat="1" ht="30.75" hidden="1">
      <c r="A166" s="147"/>
      <c r="B166" s="50" t="s">
        <v>33</v>
      </c>
      <c r="C166" s="533" t="s">
        <v>40</v>
      </c>
      <c r="D166" s="535"/>
      <c r="E166" s="50" t="s">
        <v>54</v>
      </c>
      <c r="F166" s="50" t="s">
        <v>55</v>
      </c>
      <c r="G166" s="50" t="s">
        <v>47</v>
      </c>
      <c r="H166" s="163"/>
    </row>
    <row r="167" spans="1:8" s="8" customFormat="1" ht="15" hidden="1">
      <c r="A167" s="147"/>
      <c r="B167" s="194">
        <v>1</v>
      </c>
      <c r="C167" s="580">
        <v>2</v>
      </c>
      <c r="D167" s="581"/>
      <c r="E167" s="193">
        <v>3</v>
      </c>
      <c r="F167" s="193">
        <v>4</v>
      </c>
      <c r="G167" s="30">
        <v>5</v>
      </c>
      <c r="H167" s="163"/>
    </row>
    <row r="168" spans="1:8" s="8" customFormat="1" ht="15" hidden="1">
      <c r="A168" s="147"/>
      <c r="B168" s="194"/>
      <c r="C168" s="580"/>
      <c r="D168" s="583"/>
      <c r="E168" s="193"/>
      <c r="F168" s="193"/>
      <c r="G168" s="30"/>
      <c r="H168" s="163"/>
    </row>
    <row r="169" spans="1:8" s="8" customFormat="1" ht="15" hidden="1">
      <c r="A169" s="147"/>
      <c r="B169" s="574" t="s">
        <v>59</v>
      </c>
      <c r="C169" s="575"/>
      <c r="D169" s="575"/>
      <c r="E169" s="575"/>
      <c r="F169" s="576"/>
      <c r="G169" s="68">
        <v>0</v>
      </c>
      <c r="H169" s="163"/>
    </row>
    <row r="170" ht="15" hidden="1"/>
    <row r="171" spans="1:8" s="8" customFormat="1" ht="3" customHeight="1" hidden="1">
      <c r="A171" s="147"/>
      <c r="B171" s="559" t="s">
        <v>278</v>
      </c>
      <c r="C171" s="559"/>
      <c r="D171" s="559"/>
      <c r="E171" s="559"/>
      <c r="F171" s="559"/>
      <c r="G171" s="559"/>
      <c r="H171" s="163"/>
    </row>
    <row r="172" spans="1:8" s="8" customFormat="1" ht="1.5" customHeight="1" hidden="1">
      <c r="A172" s="147"/>
      <c r="B172" s="163"/>
      <c r="C172" s="163"/>
      <c r="D172" s="164"/>
      <c r="E172" s="163"/>
      <c r="F172" s="163"/>
      <c r="G172" s="163"/>
      <c r="H172" s="163"/>
    </row>
    <row r="173" spans="1:8" s="8" customFormat="1" ht="26.25" customHeight="1" hidden="1">
      <c r="A173" s="147"/>
      <c r="B173" s="50" t="s">
        <v>33</v>
      </c>
      <c r="C173" s="533" t="s">
        <v>40</v>
      </c>
      <c r="D173" s="535"/>
      <c r="E173" s="50" t="s">
        <v>54</v>
      </c>
      <c r="F173" s="50" t="s">
        <v>55</v>
      </c>
      <c r="G173" s="50" t="s">
        <v>47</v>
      </c>
      <c r="H173" s="163"/>
    </row>
    <row r="174" spans="1:8" s="8" customFormat="1" ht="24.75" customHeight="1" hidden="1">
      <c r="A174" s="147"/>
      <c r="B174" s="194">
        <v>1</v>
      </c>
      <c r="C174" s="580">
        <v>2</v>
      </c>
      <c r="D174" s="583"/>
      <c r="E174" s="193">
        <v>3</v>
      </c>
      <c r="F174" s="193">
        <v>4</v>
      </c>
      <c r="G174" s="30">
        <v>5</v>
      </c>
      <c r="H174" s="163"/>
    </row>
    <row r="175" spans="1:8" s="8" customFormat="1" ht="28.5" customHeight="1" hidden="1">
      <c r="A175" s="147"/>
      <c r="B175" s="194" t="s">
        <v>316</v>
      </c>
      <c r="C175" s="557" t="s">
        <v>638</v>
      </c>
      <c r="D175" s="558"/>
      <c r="E175" s="193" t="s">
        <v>639</v>
      </c>
      <c r="F175" s="218">
        <f>G175/E175</f>
        <v>0</v>
      </c>
      <c r="G175" s="238">
        <v>0</v>
      </c>
      <c r="H175" s="163"/>
    </row>
    <row r="176" spans="1:8" s="8" customFormat="1" ht="25.5" customHeight="1" hidden="1">
      <c r="A176" s="147"/>
      <c r="B176" s="574" t="s">
        <v>59</v>
      </c>
      <c r="C176" s="575"/>
      <c r="D176" s="575"/>
      <c r="E176" s="575"/>
      <c r="F176" s="576"/>
      <c r="G176" s="68">
        <f>G175</f>
        <v>0</v>
      </c>
      <c r="H176" s="163"/>
    </row>
    <row r="177" spans="1:8" s="8" customFormat="1" ht="15">
      <c r="A177" s="147"/>
      <c r="B177" s="559" t="s">
        <v>279</v>
      </c>
      <c r="C177" s="559"/>
      <c r="D177" s="559"/>
      <c r="E177" s="559"/>
      <c r="F177" s="559"/>
      <c r="G177" s="559"/>
      <c r="H177" s="163"/>
    </row>
    <row r="178" spans="1:8" s="8" customFormat="1" ht="30.75">
      <c r="A178" s="147"/>
      <c r="B178" s="50" t="s">
        <v>33</v>
      </c>
      <c r="C178" s="533" t="s">
        <v>40</v>
      </c>
      <c r="D178" s="535"/>
      <c r="E178" s="50" t="s">
        <v>534</v>
      </c>
      <c r="F178" s="50" t="s">
        <v>55</v>
      </c>
      <c r="G178" s="50" t="s">
        <v>47</v>
      </c>
      <c r="H178" s="163"/>
    </row>
    <row r="179" spans="1:8" s="8" customFormat="1" ht="15">
      <c r="A179" s="147"/>
      <c r="B179" s="50">
        <v>1</v>
      </c>
      <c r="C179" s="533">
        <v>2</v>
      </c>
      <c r="D179" s="535"/>
      <c r="E179" s="50">
        <v>3</v>
      </c>
      <c r="F179" s="50">
        <v>4</v>
      </c>
      <c r="G179" s="50">
        <v>5</v>
      </c>
      <c r="H179" s="163"/>
    </row>
    <row r="180" spans="1:8" s="8" customFormat="1" ht="26.25" customHeight="1">
      <c r="A180" s="147"/>
      <c r="B180" s="194" t="s">
        <v>316</v>
      </c>
      <c r="C180" s="557" t="s">
        <v>813</v>
      </c>
      <c r="D180" s="558"/>
      <c r="E180" s="193" t="s">
        <v>533</v>
      </c>
      <c r="F180" s="240">
        <f aca="true" t="shared" si="2" ref="F180:F186">G180/E180</f>
        <v>144.0677966101695</v>
      </c>
      <c r="G180" s="239">
        <v>51000</v>
      </c>
      <c r="H180" s="317"/>
    </row>
    <row r="181" spans="1:8" s="8" customFormat="1" ht="60" customHeight="1">
      <c r="A181" s="147"/>
      <c r="B181" s="194" t="s">
        <v>570</v>
      </c>
      <c r="C181" s="557" t="s">
        <v>612</v>
      </c>
      <c r="D181" s="558"/>
      <c r="E181" s="193" t="s">
        <v>586</v>
      </c>
      <c r="F181" s="240">
        <f t="shared" si="2"/>
        <v>800</v>
      </c>
      <c r="G181" s="239">
        <f>5000-1800</f>
        <v>3200</v>
      </c>
      <c r="H181" s="317"/>
    </row>
    <row r="182" spans="1:8" s="8" customFormat="1" ht="65.25" customHeight="1" hidden="1">
      <c r="A182" s="147"/>
      <c r="B182" s="194" t="s">
        <v>617</v>
      </c>
      <c r="C182" s="557" t="s">
        <v>632</v>
      </c>
      <c r="D182" s="558"/>
      <c r="E182" s="193" t="s">
        <v>633</v>
      </c>
      <c r="F182" s="240">
        <f t="shared" si="2"/>
        <v>0</v>
      </c>
      <c r="G182" s="239">
        <v>0</v>
      </c>
      <c r="H182" s="317"/>
    </row>
    <row r="183" spans="1:8" s="8" customFormat="1" ht="61.5" customHeight="1" hidden="1">
      <c r="A183" s="147"/>
      <c r="B183" s="194" t="s">
        <v>617</v>
      </c>
      <c r="C183" s="557" t="s">
        <v>784</v>
      </c>
      <c r="D183" s="558"/>
      <c r="E183" s="193" t="s">
        <v>586</v>
      </c>
      <c r="F183" s="240">
        <f t="shared" si="2"/>
        <v>0</v>
      </c>
      <c r="G183" s="239">
        <f>1800+23227.21+200000+80072.79-305100</f>
        <v>0</v>
      </c>
      <c r="H183" s="317"/>
    </row>
    <row r="184" spans="1:8" s="8" customFormat="1" ht="22.5" customHeight="1">
      <c r="A184" s="147"/>
      <c r="B184" s="194" t="s">
        <v>617</v>
      </c>
      <c r="C184" s="557" t="s">
        <v>814</v>
      </c>
      <c r="D184" s="558"/>
      <c r="E184" s="193" t="s">
        <v>700</v>
      </c>
      <c r="F184" s="240">
        <f t="shared" si="2"/>
        <v>333.3333333333333</v>
      </c>
      <c r="G184" s="239">
        <v>2000</v>
      </c>
      <c r="H184" s="317"/>
    </row>
    <row r="185" spans="1:8" s="8" customFormat="1" ht="29.25" customHeight="1" hidden="1">
      <c r="A185" s="147"/>
      <c r="B185" s="50">
        <v>4</v>
      </c>
      <c r="C185" s="569" t="s">
        <v>784</v>
      </c>
      <c r="D185" s="570"/>
      <c r="E185" s="173">
        <v>35</v>
      </c>
      <c r="F185" s="240">
        <f t="shared" si="2"/>
        <v>0</v>
      </c>
      <c r="G185" s="435">
        <f>35000-1180+5000+3000+3180-45000</f>
        <v>0</v>
      </c>
      <c r="H185" s="244"/>
    </row>
    <row r="186" spans="1:8" s="8" customFormat="1" ht="39.75" customHeight="1">
      <c r="A186" s="147"/>
      <c r="B186" s="50">
        <v>4</v>
      </c>
      <c r="C186" s="569" t="s">
        <v>900</v>
      </c>
      <c r="D186" s="570"/>
      <c r="E186" s="173">
        <v>35</v>
      </c>
      <c r="F186" s="240">
        <f t="shared" si="2"/>
        <v>137.14285714285714</v>
      </c>
      <c r="G186" s="435">
        <v>4800</v>
      </c>
      <c r="H186" s="244"/>
    </row>
    <row r="187" spans="1:8" s="8" customFormat="1" ht="15">
      <c r="A187" s="147"/>
      <c r="B187" s="574" t="s">
        <v>56</v>
      </c>
      <c r="C187" s="575"/>
      <c r="D187" s="575"/>
      <c r="E187" s="575"/>
      <c r="F187" s="576"/>
      <c r="G187" s="68">
        <f>SUM(G180:G186)</f>
        <v>61000</v>
      </c>
      <c r="H187" s="317"/>
    </row>
    <row r="188" spans="2:9" s="131" customFormat="1" ht="15">
      <c r="B188" s="582" t="s">
        <v>281</v>
      </c>
      <c r="C188" s="582"/>
      <c r="D188" s="582"/>
      <c r="E188" s="582"/>
      <c r="F188" s="582"/>
      <c r="G188" s="582"/>
      <c r="I188" s="6"/>
    </row>
    <row r="189" spans="2:9" s="131" customFormat="1" ht="30.75">
      <c r="B189" s="50" t="s">
        <v>33</v>
      </c>
      <c r="C189" s="533" t="s">
        <v>40</v>
      </c>
      <c r="D189" s="535"/>
      <c r="E189" s="50" t="s">
        <v>54</v>
      </c>
      <c r="F189" s="50" t="s">
        <v>55</v>
      </c>
      <c r="G189" s="50" t="s">
        <v>47</v>
      </c>
      <c r="I189" s="6"/>
    </row>
    <row r="190" spans="2:9" s="131" customFormat="1" ht="15">
      <c r="B190" s="50">
        <v>1</v>
      </c>
      <c r="C190" s="533">
        <v>2</v>
      </c>
      <c r="D190" s="535"/>
      <c r="E190" s="50">
        <v>3</v>
      </c>
      <c r="F190" s="50">
        <v>4</v>
      </c>
      <c r="G190" s="50">
        <v>5</v>
      </c>
      <c r="I190" s="6"/>
    </row>
    <row r="191" spans="2:9" s="131" customFormat="1" ht="31.5" customHeight="1">
      <c r="B191" s="194" t="s">
        <v>316</v>
      </c>
      <c r="C191" s="557" t="s">
        <v>490</v>
      </c>
      <c r="D191" s="558"/>
      <c r="E191" s="193" t="s">
        <v>535</v>
      </c>
      <c r="F191" s="218">
        <f>G191/E191</f>
        <v>149.7005988023952</v>
      </c>
      <c r="G191" s="239">
        <v>25000</v>
      </c>
      <c r="H191" s="316"/>
      <c r="I191" s="6"/>
    </row>
    <row r="192" spans="2:7" ht="15" hidden="1">
      <c r="B192" s="50"/>
      <c r="C192" s="569"/>
      <c r="D192" s="570"/>
      <c r="E192" s="173"/>
      <c r="F192" s="179"/>
      <c r="G192" s="123"/>
    </row>
    <row r="193" spans="2:9" s="131" customFormat="1" ht="15">
      <c r="B193" s="574" t="s">
        <v>58</v>
      </c>
      <c r="C193" s="575"/>
      <c r="D193" s="575"/>
      <c r="E193" s="575"/>
      <c r="F193" s="576"/>
      <c r="G193" s="68">
        <f>G191</f>
        <v>25000</v>
      </c>
      <c r="I193" s="6"/>
    </row>
    <row r="194" ht="15">
      <c r="H194" s="242"/>
    </row>
    <row r="195" spans="2:7" ht="30" customHeight="1" hidden="1">
      <c r="B195" s="582" t="s">
        <v>280</v>
      </c>
      <c r="C195" s="582"/>
      <c r="D195" s="582"/>
      <c r="E195" s="582"/>
      <c r="F195" s="582"/>
      <c r="G195" s="582"/>
    </row>
    <row r="196" spans="2:7" ht="15" hidden="1">
      <c r="B196" s="163"/>
      <c r="C196" s="163"/>
      <c r="D196" s="164"/>
      <c r="E196" s="163"/>
      <c r="F196" s="163"/>
      <c r="G196" s="163"/>
    </row>
    <row r="197" spans="2:7" ht="30.75" hidden="1">
      <c r="B197" s="50" t="s">
        <v>33</v>
      </c>
      <c r="C197" s="533" t="s">
        <v>40</v>
      </c>
      <c r="D197" s="535"/>
      <c r="E197" s="50" t="s">
        <v>50</v>
      </c>
      <c r="F197" s="50" t="s">
        <v>51</v>
      </c>
      <c r="G197" s="50" t="s">
        <v>47</v>
      </c>
    </row>
    <row r="198" spans="2:7" ht="15" hidden="1">
      <c r="B198" s="194">
        <v>1</v>
      </c>
      <c r="C198" s="580">
        <v>2</v>
      </c>
      <c r="D198" s="581"/>
      <c r="E198" s="193">
        <v>3</v>
      </c>
      <c r="F198" s="193">
        <v>4</v>
      </c>
      <c r="G198" s="30">
        <v>5</v>
      </c>
    </row>
    <row r="199" spans="2:7" ht="15" hidden="1">
      <c r="B199" s="194"/>
      <c r="C199" s="580"/>
      <c r="D199" s="583"/>
      <c r="E199" s="193"/>
      <c r="F199" s="193"/>
      <c r="G199" s="30"/>
    </row>
    <row r="200" spans="2:9" s="131" customFormat="1" ht="15" hidden="1">
      <c r="B200" s="574" t="s">
        <v>232</v>
      </c>
      <c r="C200" s="575"/>
      <c r="D200" s="575"/>
      <c r="E200" s="575"/>
      <c r="F200" s="576"/>
      <c r="G200" s="68">
        <v>0</v>
      </c>
      <c r="I200" s="6"/>
    </row>
    <row r="201" ht="15" hidden="1">
      <c r="A201" s="6"/>
    </row>
    <row r="202" spans="2:9" s="131" customFormat="1" ht="36.75" customHeight="1" hidden="1">
      <c r="B202" s="582" t="s">
        <v>281</v>
      </c>
      <c r="C202" s="582"/>
      <c r="D202" s="582"/>
      <c r="E202" s="582"/>
      <c r="F202" s="582"/>
      <c r="G202" s="582"/>
      <c r="I202" s="6"/>
    </row>
    <row r="203" spans="2:9" s="131" customFormat="1" ht="15" hidden="1">
      <c r="B203" s="163"/>
      <c r="C203" s="163"/>
      <c r="D203" s="164"/>
      <c r="E203" s="163"/>
      <c r="F203" s="163"/>
      <c r="G203" s="163"/>
      <c r="I203" s="6"/>
    </row>
    <row r="204" spans="2:9" s="131" customFormat="1" ht="30.75" hidden="1">
      <c r="B204" s="50" t="s">
        <v>33</v>
      </c>
      <c r="C204" s="533" t="s">
        <v>40</v>
      </c>
      <c r="D204" s="535"/>
      <c r="E204" s="50" t="s">
        <v>54</v>
      </c>
      <c r="F204" s="50" t="s">
        <v>55</v>
      </c>
      <c r="G204" s="50" t="s">
        <v>47</v>
      </c>
      <c r="I204" s="6"/>
    </row>
    <row r="205" spans="2:9" s="131" customFormat="1" ht="15" hidden="1">
      <c r="B205" s="194">
        <v>1</v>
      </c>
      <c r="C205" s="580">
        <v>2</v>
      </c>
      <c r="D205" s="581"/>
      <c r="E205" s="193">
        <v>3</v>
      </c>
      <c r="F205" s="193">
        <v>4</v>
      </c>
      <c r="G205" s="30">
        <v>5</v>
      </c>
      <c r="I205" s="6"/>
    </row>
    <row r="206" spans="2:9" s="131" customFormat="1" ht="15" hidden="1">
      <c r="B206" s="50"/>
      <c r="C206" s="569"/>
      <c r="D206" s="570"/>
      <c r="E206" s="173"/>
      <c r="F206" s="179"/>
      <c r="G206" s="123"/>
      <c r="I206" s="6"/>
    </row>
    <row r="207" spans="2:9" s="131" customFormat="1" ht="15" hidden="1">
      <c r="B207" s="574" t="s">
        <v>58</v>
      </c>
      <c r="C207" s="575"/>
      <c r="D207" s="575"/>
      <c r="E207" s="575"/>
      <c r="F207" s="576"/>
      <c r="G207" s="68">
        <f>G206</f>
        <v>0</v>
      </c>
      <c r="I207" s="6"/>
    </row>
    <row r="208" ht="15" hidden="1">
      <c r="A208" s="6"/>
    </row>
    <row r="209" spans="2:9" s="131" customFormat="1" ht="15" hidden="1">
      <c r="B209" s="626" t="s">
        <v>282</v>
      </c>
      <c r="C209" s="626"/>
      <c r="D209" s="626"/>
      <c r="E209" s="626"/>
      <c r="F209" s="626"/>
      <c r="G209" s="626"/>
      <c r="I209" s="6"/>
    </row>
    <row r="210" spans="2:9" s="131" customFormat="1" ht="15">
      <c r="B210" s="196"/>
      <c r="C210" s="196"/>
      <c r="D210" s="196"/>
      <c r="E210" s="196"/>
      <c r="F210" s="196"/>
      <c r="G210" s="196"/>
      <c r="H210" s="266" t="str">
        <f>'Пр.1Титульный лист'!L15</f>
        <v>22.12.2023</v>
      </c>
      <c r="I210" s="6"/>
    </row>
    <row r="211" spans="1:8" ht="15">
      <c r="A211" s="6"/>
      <c r="B211" s="577" t="s">
        <v>712</v>
      </c>
      <c r="C211" s="577"/>
      <c r="D211" s="577"/>
      <c r="E211" s="577"/>
      <c r="F211" s="577"/>
      <c r="G211" s="577"/>
      <c r="H211" s="577"/>
    </row>
    <row r="212" spans="1:8" ht="15">
      <c r="A212" s="6"/>
      <c r="B212" s="577" t="s">
        <v>13</v>
      </c>
      <c r="C212" s="577"/>
      <c r="D212" s="577"/>
      <c r="E212" s="577"/>
      <c r="F212" s="577"/>
      <c r="G212" s="577"/>
      <c r="H212" s="577"/>
    </row>
    <row r="213" spans="1:8" ht="15">
      <c r="A213" s="6"/>
      <c r="B213" s="591" t="s">
        <v>807</v>
      </c>
      <c r="C213" s="577"/>
      <c r="D213" s="577"/>
      <c r="E213" s="577"/>
      <c r="F213" s="577"/>
      <c r="G213" s="577"/>
      <c r="H213" s="577"/>
    </row>
    <row r="214" spans="1:8" ht="15">
      <c r="A214" s="6"/>
      <c r="B214" s="594" t="s">
        <v>602</v>
      </c>
      <c r="C214" s="594"/>
      <c r="D214" s="594"/>
      <c r="E214" s="594"/>
      <c r="F214" s="594"/>
      <c r="G214" s="594"/>
      <c r="H214" s="594"/>
    </row>
    <row r="215" spans="1:8" ht="15">
      <c r="A215" s="6"/>
      <c r="B215" s="577" t="s">
        <v>259</v>
      </c>
      <c r="C215" s="577"/>
      <c r="D215" s="577"/>
      <c r="E215" s="577"/>
      <c r="F215" s="577"/>
      <c r="G215" s="577"/>
      <c r="H215" s="577"/>
    </row>
    <row r="216" spans="1:8" ht="15">
      <c r="A216" s="6"/>
      <c r="B216" s="595" t="s">
        <v>219</v>
      </c>
      <c r="C216" s="595"/>
      <c r="D216" s="595"/>
      <c r="E216" s="595"/>
      <c r="F216" s="595"/>
      <c r="G216" s="595"/>
      <c r="H216" s="595"/>
    </row>
    <row r="217" spans="2:8" ht="15">
      <c r="B217" s="577" t="s">
        <v>439</v>
      </c>
      <c r="C217" s="577"/>
      <c r="D217" s="577"/>
      <c r="E217" s="577"/>
      <c r="F217" s="577"/>
      <c r="G217" s="577"/>
      <c r="H217" s="577"/>
    </row>
    <row r="218" spans="2:8" ht="15">
      <c r="B218" s="592" t="s">
        <v>324</v>
      </c>
      <c r="C218" s="593"/>
      <c r="D218" s="592" t="s">
        <v>19</v>
      </c>
      <c r="E218" s="593"/>
      <c r="F218" s="592" t="s">
        <v>325</v>
      </c>
      <c r="G218" s="593"/>
      <c r="H218" s="596" t="s">
        <v>326</v>
      </c>
    </row>
    <row r="219" spans="2:8" ht="15">
      <c r="B219" s="152" t="s">
        <v>16</v>
      </c>
      <c r="C219" s="152" t="s">
        <v>17</v>
      </c>
      <c r="D219" s="152" t="s">
        <v>16</v>
      </c>
      <c r="E219" s="152" t="s">
        <v>17</v>
      </c>
      <c r="F219" s="152" t="s">
        <v>16</v>
      </c>
      <c r="G219" s="152" t="s">
        <v>17</v>
      </c>
      <c r="H219" s="597"/>
    </row>
    <row r="220" spans="2:8" ht="15">
      <c r="B220" s="152">
        <v>1</v>
      </c>
      <c r="C220" s="152">
        <v>2</v>
      </c>
      <c r="D220" s="152">
        <v>3</v>
      </c>
      <c r="E220" s="152">
        <v>4</v>
      </c>
      <c r="F220" s="152">
        <v>5</v>
      </c>
      <c r="G220" s="152">
        <v>6</v>
      </c>
      <c r="H220" s="153">
        <v>7</v>
      </c>
    </row>
    <row r="221" spans="2:8" ht="15">
      <c r="B221" s="257">
        <v>2431458.04</v>
      </c>
      <c r="C221" s="257">
        <f>H221</f>
        <v>39386175.12</v>
      </c>
      <c r="D221" s="258">
        <f>H221/12</f>
        <v>3282181.26</v>
      </c>
      <c r="E221" s="258">
        <f>H221</f>
        <v>39386175.12</v>
      </c>
      <c r="F221" s="258">
        <v>2431458.04</v>
      </c>
      <c r="G221" s="258">
        <f>H221</f>
        <v>39386175.12</v>
      </c>
      <c r="H221" s="259">
        <v>39386175.12</v>
      </c>
    </row>
    <row r="222" spans="2:8" ht="15">
      <c r="B222" s="598" t="s">
        <v>233</v>
      </c>
      <c r="C222" s="599"/>
      <c r="D222" s="599"/>
      <c r="E222" s="599"/>
      <c r="F222" s="599"/>
      <c r="G222" s="600"/>
      <c r="H222" s="157">
        <f>H221</f>
        <v>39386175.12</v>
      </c>
    </row>
    <row r="223" spans="2:8" ht="31.5" customHeight="1">
      <c r="B223" s="601" t="s">
        <v>970</v>
      </c>
      <c r="C223" s="602"/>
      <c r="D223" s="602"/>
      <c r="E223" s="602"/>
      <c r="F223" s="602"/>
      <c r="G223" s="602"/>
      <c r="H223" s="602"/>
    </row>
    <row r="224" spans="2:8" ht="15">
      <c r="B224" s="613" t="s">
        <v>964</v>
      </c>
      <c r="C224" s="614"/>
      <c r="D224" s="614"/>
      <c r="E224" s="614"/>
      <c r="F224" s="614"/>
      <c r="G224" s="614"/>
      <c r="H224" s="614"/>
    </row>
    <row r="225" spans="2:8" ht="15" hidden="1">
      <c r="B225" s="185"/>
      <c r="C225" s="185"/>
      <c r="D225" s="185"/>
      <c r="E225" s="185"/>
      <c r="F225" s="185"/>
      <c r="G225" s="185"/>
      <c r="H225" s="186"/>
    </row>
    <row r="226" spans="1:8" ht="34.5" customHeight="1" hidden="1">
      <c r="A226" s="147"/>
      <c r="B226" s="628" t="s">
        <v>260</v>
      </c>
      <c r="C226" s="628"/>
      <c r="D226" s="628"/>
      <c r="E226" s="628"/>
      <c r="F226" s="628"/>
      <c r="G226" s="628"/>
      <c r="H226" s="163"/>
    </row>
    <row r="227" spans="1:8" ht="15" hidden="1">
      <c r="A227" s="147"/>
      <c r="B227" s="163"/>
      <c r="C227" s="163"/>
      <c r="D227" s="164"/>
      <c r="E227" s="163"/>
      <c r="F227" s="163"/>
      <c r="G227" s="163"/>
      <c r="H227" s="163"/>
    </row>
    <row r="228" spans="1:8" ht="30.75" hidden="1">
      <c r="A228" s="147"/>
      <c r="B228" s="50" t="s">
        <v>33</v>
      </c>
      <c r="C228" s="533" t="s">
        <v>40</v>
      </c>
      <c r="D228" s="535"/>
      <c r="E228" s="50" t="s">
        <v>45</v>
      </c>
      <c r="F228" s="50" t="s">
        <v>46</v>
      </c>
      <c r="G228" s="50" t="s">
        <v>47</v>
      </c>
      <c r="H228" s="163"/>
    </row>
    <row r="229" spans="1:8" ht="15" hidden="1">
      <c r="A229" s="147"/>
      <c r="B229" s="50">
        <v>1</v>
      </c>
      <c r="C229" s="533">
        <v>2</v>
      </c>
      <c r="D229" s="535"/>
      <c r="E229" s="50">
        <v>2</v>
      </c>
      <c r="F229" s="50">
        <v>4</v>
      </c>
      <c r="G229" s="50">
        <v>5</v>
      </c>
      <c r="H229" s="163"/>
    </row>
    <row r="230" spans="1:8" ht="15" hidden="1">
      <c r="A230" s="147"/>
      <c r="B230" s="50">
        <v>1</v>
      </c>
      <c r="C230" s="609" t="s">
        <v>327</v>
      </c>
      <c r="D230" s="611"/>
      <c r="E230" s="256">
        <v>100</v>
      </c>
      <c r="F230" s="268">
        <f>G230/E230</f>
        <v>0</v>
      </c>
      <c r="G230" s="255">
        <v>0</v>
      </c>
      <c r="H230" s="163"/>
    </row>
    <row r="231" spans="1:8" ht="15" hidden="1">
      <c r="A231" s="147"/>
      <c r="B231" s="50"/>
      <c r="C231" s="609"/>
      <c r="D231" s="611"/>
      <c r="E231" s="50"/>
      <c r="F231" s="169"/>
      <c r="G231" s="123"/>
      <c r="H231" s="163"/>
    </row>
    <row r="232" spans="1:8" ht="15" hidden="1">
      <c r="A232" s="147"/>
      <c r="B232" s="585" t="s">
        <v>222</v>
      </c>
      <c r="C232" s="586"/>
      <c r="D232" s="587"/>
      <c r="E232" s="50" t="s">
        <v>35</v>
      </c>
      <c r="F232" s="170" t="s">
        <v>35</v>
      </c>
      <c r="G232" s="122">
        <f>SUM(G230:G231)</f>
        <v>0</v>
      </c>
      <c r="H232" s="163"/>
    </row>
    <row r="233" spans="1:8" ht="15" hidden="1">
      <c r="A233" s="6"/>
      <c r="B233" s="185"/>
      <c r="C233" s="185"/>
      <c r="D233" s="185"/>
      <c r="E233" s="185"/>
      <c r="F233" s="185"/>
      <c r="G233" s="185"/>
      <c r="H233" s="186"/>
    </row>
    <row r="234" spans="1:8" ht="51.75" customHeight="1">
      <c r="A234" s="6"/>
      <c r="B234" s="577" t="s">
        <v>558</v>
      </c>
      <c r="C234" s="577"/>
      <c r="D234" s="577"/>
      <c r="E234" s="577"/>
      <c r="F234" s="577"/>
      <c r="G234" s="577"/>
      <c r="H234" s="166"/>
    </row>
    <row r="235" spans="1:7" ht="31.5" customHeight="1">
      <c r="A235" s="6"/>
      <c r="B235" s="50" t="s">
        <v>33</v>
      </c>
      <c r="C235" s="533" t="s">
        <v>21</v>
      </c>
      <c r="D235" s="534"/>
      <c r="E235" s="535"/>
      <c r="F235" s="330" t="s">
        <v>22</v>
      </c>
      <c r="G235" s="50" t="s">
        <v>23</v>
      </c>
    </row>
    <row r="236" spans="1:7" ht="17.25" customHeight="1">
      <c r="A236" s="6"/>
      <c r="B236" s="50">
        <v>1</v>
      </c>
      <c r="C236" s="533">
        <v>2</v>
      </c>
      <c r="D236" s="534"/>
      <c r="E236" s="535"/>
      <c r="F236" s="50">
        <v>3</v>
      </c>
      <c r="G236" s="50">
        <v>4</v>
      </c>
    </row>
    <row r="237" spans="1:7" ht="38.25" customHeight="1">
      <c r="A237" s="6"/>
      <c r="B237" s="118">
        <v>1</v>
      </c>
      <c r="C237" s="609" t="s">
        <v>34</v>
      </c>
      <c r="D237" s="610"/>
      <c r="E237" s="611"/>
      <c r="F237" s="118" t="s">
        <v>35</v>
      </c>
      <c r="G237" s="324">
        <f>SUM(G238:G240)</f>
        <v>8664958</v>
      </c>
    </row>
    <row r="238" spans="1:7" ht="15">
      <c r="A238" s="6"/>
      <c r="B238" s="118" t="s">
        <v>24</v>
      </c>
      <c r="C238" s="609" t="s">
        <v>36</v>
      </c>
      <c r="D238" s="610"/>
      <c r="E238" s="611"/>
      <c r="F238" s="159">
        <f>H221</f>
        <v>39386175.12</v>
      </c>
      <c r="G238" s="324">
        <f>ROUNDDOWN(F238*22%,0)</f>
        <v>8664958</v>
      </c>
    </row>
    <row r="239" spans="1:7" ht="15" hidden="1">
      <c r="A239" s="6"/>
      <c r="B239" s="160" t="s">
        <v>25</v>
      </c>
      <c r="C239" s="609" t="s">
        <v>37</v>
      </c>
      <c r="D239" s="610"/>
      <c r="E239" s="611"/>
      <c r="F239" s="159"/>
      <c r="G239" s="324"/>
    </row>
    <row r="240" spans="1:7" ht="50.25" customHeight="1" hidden="1">
      <c r="A240" s="6"/>
      <c r="B240" s="118" t="s">
        <v>26</v>
      </c>
      <c r="C240" s="609" t="s">
        <v>77</v>
      </c>
      <c r="D240" s="610"/>
      <c r="E240" s="611"/>
      <c r="F240" s="159"/>
      <c r="G240" s="324"/>
    </row>
    <row r="241" spans="1:7" ht="39" customHeight="1">
      <c r="A241" s="6"/>
      <c r="B241" s="118">
        <v>2</v>
      </c>
      <c r="C241" s="609" t="s">
        <v>27</v>
      </c>
      <c r="D241" s="610"/>
      <c r="E241" s="611"/>
      <c r="F241" s="118" t="s">
        <v>35</v>
      </c>
      <c r="G241" s="324">
        <f>SUM(G242:G246)</f>
        <v>1220971.88</v>
      </c>
    </row>
    <row r="242" spans="1:7" ht="39" customHeight="1">
      <c r="A242" s="6"/>
      <c r="B242" s="118" t="s">
        <v>28</v>
      </c>
      <c r="C242" s="609" t="s">
        <v>78</v>
      </c>
      <c r="D242" s="610"/>
      <c r="E242" s="611"/>
      <c r="F242" s="159">
        <f>F238</f>
        <v>39386175.12</v>
      </c>
      <c r="G242" s="324">
        <f>ROUNDDOWN(F242*2.9%,0)-0.12</f>
        <v>1142198.88</v>
      </c>
    </row>
    <row r="243" spans="1:7" ht="40.5" customHeight="1" hidden="1">
      <c r="A243" s="6"/>
      <c r="B243" s="118" t="s">
        <v>29</v>
      </c>
      <c r="C243" s="609" t="s">
        <v>79</v>
      </c>
      <c r="D243" s="610"/>
      <c r="E243" s="611"/>
      <c r="F243" s="159"/>
      <c r="G243" s="324"/>
    </row>
    <row r="244" spans="1:7" ht="48.75" customHeight="1">
      <c r="A244" s="6"/>
      <c r="B244" s="118" t="s">
        <v>29</v>
      </c>
      <c r="C244" s="609" t="s">
        <v>76</v>
      </c>
      <c r="D244" s="610"/>
      <c r="E244" s="611"/>
      <c r="F244" s="159">
        <f>F242</f>
        <v>39386175.12</v>
      </c>
      <c r="G244" s="324">
        <f>ROUNDUP(F244*0.2%,0)</f>
        <v>78773</v>
      </c>
    </row>
    <row r="245" spans="1:7" ht="46.5" customHeight="1" hidden="1">
      <c r="A245" s="6"/>
      <c r="B245" s="118" t="s">
        <v>31</v>
      </c>
      <c r="C245" s="609" t="s">
        <v>80</v>
      </c>
      <c r="D245" s="610"/>
      <c r="E245" s="611"/>
      <c r="F245" s="159"/>
      <c r="G245" s="324"/>
    </row>
    <row r="246" spans="1:7" ht="48" customHeight="1" hidden="1">
      <c r="A246" s="6"/>
      <c r="B246" s="118" t="s">
        <v>32</v>
      </c>
      <c r="C246" s="609" t="s">
        <v>80</v>
      </c>
      <c r="D246" s="610"/>
      <c r="E246" s="611"/>
      <c r="F246" s="159"/>
      <c r="G246" s="324"/>
    </row>
    <row r="247" spans="1:7" ht="38.25" customHeight="1">
      <c r="A247" s="6"/>
      <c r="B247" s="118" t="s">
        <v>38</v>
      </c>
      <c r="C247" s="609" t="s">
        <v>39</v>
      </c>
      <c r="D247" s="610"/>
      <c r="E247" s="611"/>
      <c r="F247" s="159">
        <f>F244</f>
        <v>39386175.12</v>
      </c>
      <c r="G247" s="324">
        <f>ROUNDUP(F247*5.1%,0)</f>
        <v>2008695</v>
      </c>
    </row>
    <row r="248" spans="1:7" ht="15">
      <c r="A248" s="6"/>
      <c r="B248" s="574" t="s">
        <v>72</v>
      </c>
      <c r="C248" s="575"/>
      <c r="D248" s="575"/>
      <c r="E248" s="576"/>
      <c r="F248" s="118" t="s">
        <v>35</v>
      </c>
      <c r="G248" s="180">
        <f>G237+G241+G247</f>
        <v>11894624.879999999</v>
      </c>
    </row>
    <row r="249" spans="1:7" ht="15" hidden="1">
      <c r="A249" s="6"/>
      <c r="B249" s="559" t="s">
        <v>263</v>
      </c>
      <c r="C249" s="559"/>
      <c r="D249" s="559"/>
      <c r="E249" s="559"/>
      <c r="F249" s="559"/>
      <c r="G249" s="559"/>
    </row>
    <row r="250" spans="2:7" ht="15" hidden="1">
      <c r="B250" s="163"/>
      <c r="C250" s="163"/>
      <c r="D250" s="163"/>
      <c r="E250" s="163"/>
      <c r="F250" s="163"/>
      <c r="G250" s="164"/>
    </row>
    <row r="251" spans="2:7" ht="15" hidden="1">
      <c r="B251" s="608" t="s">
        <v>220</v>
      </c>
      <c r="C251" s="608"/>
      <c r="D251" s="608"/>
      <c r="E251" s="608"/>
      <c r="F251" s="608"/>
      <c r="G251" s="608"/>
    </row>
    <row r="252" spans="2:7" ht="15" hidden="1">
      <c r="B252" s="163"/>
      <c r="C252" s="165"/>
      <c r="D252" s="163"/>
      <c r="E252" s="163"/>
      <c r="F252" s="163"/>
      <c r="G252" s="163"/>
    </row>
    <row r="253" spans="2:7" ht="78" hidden="1">
      <c r="B253" s="50" t="s">
        <v>33</v>
      </c>
      <c r="C253" s="530" t="s">
        <v>40</v>
      </c>
      <c r="D253" s="530"/>
      <c r="E253" s="50" t="s">
        <v>41</v>
      </c>
      <c r="F253" s="50" t="s">
        <v>42</v>
      </c>
      <c r="G253" s="50" t="s">
        <v>43</v>
      </c>
    </row>
    <row r="254" spans="2:7" ht="15" hidden="1">
      <c r="B254" s="50">
        <v>1</v>
      </c>
      <c r="C254" s="530">
        <v>2</v>
      </c>
      <c r="D254" s="530"/>
      <c r="E254" s="50">
        <v>3</v>
      </c>
      <c r="F254" s="50">
        <v>4</v>
      </c>
      <c r="G254" s="50">
        <v>5</v>
      </c>
    </row>
    <row r="255" spans="2:7" ht="15" hidden="1">
      <c r="B255" s="50"/>
      <c r="C255" s="609"/>
      <c r="D255" s="611"/>
      <c r="E255" s="216"/>
      <c r="F255" s="216"/>
      <c r="G255" s="123">
        <v>0</v>
      </c>
    </row>
    <row r="256" spans="2:7" ht="15" hidden="1">
      <c r="B256" s="50"/>
      <c r="C256" s="567"/>
      <c r="D256" s="567"/>
      <c r="E256" s="216"/>
      <c r="F256" s="216"/>
      <c r="G256" s="123">
        <v>0</v>
      </c>
    </row>
    <row r="257" spans="1:8" ht="15" hidden="1">
      <c r="A257" s="166"/>
      <c r="B257" s="585" t="s">
        <v>223</v>
      </c>
      <c r="C257" s="586"/>
      <c r="D257" s="587"/>
      <c r="E257" s="25"/>
      <c r="F257" s="122"/>
      <c r="G257" s="167">
        <f>SUM(G255:G256)</f>
        <v>0</v>
      </c>
      <c r="H257" s="166"/>
    </row>
    <row r="258" ht="15" hidden="1"/>
    <row r="259" spans="2:8" ht="15" hidden="1">
      <c r="B259" s="559" t="s">
        <v>264</v>
      </c>
      <c r="C259" s="559"/>
      <c r="D259" s="559"/>
      <c r="E259" s="559"/>
      <c r="F259" s="559"/>
      <c r="G259" s="559"/>
      <c r="H259" s="168"/>
    </row>
    <row r="260" spans="2:8" ht="15" hidden="1">
      <c r="B260" s="162"/>
      <c r="C260" s="162"/>
      <c r="D260" s="162"/>
      <c r="E260" s="162"/>
      <c r="F260" s="162"/>
      <c r="G260" s="162"/>
      <c r="H260" s="168"/>
    </row>
    <row r="261" spans="2:8" ht="15" hidden="1">
      <c r="B261" s="608" t="s">
        <v>221</v>
      </c>
      <c r="C261" s="608"/>
      <c r="D261" s="608"/>
      <c r="E261" s="608"/>
      <c r="F261" s="608"/>
      <c r="G261" s="608"/>
      <c r="H261" s="168"/>
    </row>
    <row r="262" spans="1:8" ht="15" hidden="1">
      <c r="A262" s="147"/>
      <c r="B262" s="559" t="s">
        <v>265</v>
      </c>
      <c r="C262" s="559"/>
      <c r="D262" s="559"/>
      <c r="E262" s="559"/>
      <c r="F262" s="559"/>
      <c r="G262" s="559"/>
      <c r="H262" s="163"/>
    </row>
    <row r="263" spans="1:8" ht="15" hidden="1">
      <c r="A263" s="147"/>
      <c r="B263" s="163"/>
      <c r="C263" s="163"/>
      <c r="D263" s="164"/>
      <c r="E263" s="163"/>
      <c r="F263" s="163"/>
      <c r="G263" s="163"/>
      <c r="H263" s="163"/>
    </row>
    <row r="264" spans="1:8" ht="30.75" hidden="1">
      <c r="A264" s="147"/>
      <c r="B264" s="50" t="s">
        <v>33</v>
      </c>
      <c r="C264" s="50" t="s">
        <v>40</v>
      </c>
      <c r="D264" s="50" t="s">
        <v>44</v>
      </c>
      <c r="E264" s="50" t="s">
        <v>45</v>
      </c>
      <c r="F264" s="50" t="s">
        <v>46</v>
      </c>
      <c r="G264" s="50" t="s">
        <v>47</v>
      </c>
      <c r="H264" s="163"/>
    </row>
    <row r="265" spans="1:8" ht="15" hidden="1">
      <c r="A265" s="147"/>
      <c r="B265" s="50">
        <v>1</v>
      </c>
      <c r="C265" s="50">
        <v>2</v>
      </c>
      <c r="D265" s="50">
        <v>3</v>
      </c>
      <c r="E265" s="50">
        <v>4</v>
      </c>
      <c r="F265" s="50">
        <v>5</v>
      </c>
      <c r="G265" s="50">
        <v>6</v>
      </c>
      <c r="H265" s="163"/>
    </row>
    <row r="266" spans="1:8" ht="15" hidden="1">
      <c r="A266" s="147"/>
      <c r="B266" s="50"/>
      <c r="C266" s="36"/>
      <c r="D266" s="50"/>
      <c r="E266" s="50"/>
      <c r="F266" s="170"/>
      <c r="G266" s="170"/>
      <c r="H266" s="163"/>
    </row>
    <row r="267" spans="1:8" ht="15" hidden="1">
      <c r="A267" s="147"/>
      <c r="B267" s="585" t="s">
        <v>70</v>
      </c>
      <c r="C267" s="586"/>
      <c r="D267" s="586"/>
      <c r="E267" s="586"/>
      <c r="F267" s="587"/>
      <c r="G267" s="122">
        <f>SUM(G266:G266)</f>
        <v>0</v>
      </c>
      <c r="H267" s="163"/>
    </row>
    <row r="268" spans="1:8" ht="15" hidden="1">
      <c r="A268" s="147"/>
      <c r="B268" s="171"/>
      <c r="C268" s="171"/>
      <c r="D268" s="171"/>
      <c r="E268" s="171"/>
      <c r="F268" s="171"/>
      <c r="G268" s="178"/>
      <c r="H268" s="163"/>
    </row>
    <row r="269" spans="1:8" ht="15" hidden="1">
      <c r="A269" s="147"/>
      <c r="B269" s="559" t="s">
        <v>266</v>
      </c>
      <c r="C269" s="559"/>
      <c r="D269" s="559"/>
      <c r="E269" s="559"/>
      <c r="F269" s="559"/>
      <c r="G269" s="559"/>
      <c r="H269" s="163"/>
    </row>
    <row r="270" spans="1:8" ht="15" hidden="1">
      <c r="A270" s="147"/>
      <c r="B270" s="163"/>
      <c r="C270" s="163"/>
      <c r="D270" s="164"/>
      <c r="E270" s="163"/>
      <c r="F270" s="163"/>
      <c r="G270" s="163"/>
      <c r="H270" s="163"/>
    </row>
    <row r="271" spans="1:8" ht="30.75" hidden="1">
      <c r="A271" s="147"/>
      <c r="B271" s="50" t="s">
        <v>33</v>
      </c>
      <c r="C271" s="50" t="s">
        <v>40</v>
      </c>
      <c r="D271" s="50" t="s">
        <v>283</v>
      </c>
      <c r="E271" s="533" t="s">
        <v>284</v>
      </c>
      <c r="F271" s="535"/>
      <c r="G271" s="50" t="s">
        <v>47</v>
      </c>
      <c r="H271" s="163"/>
    </row>
    <row r="272" spans="1:8" ht="15" hidden="1">
      <c r="A272" s="147"/>
      <c r="B272" s="50">
        <v>1</v>
      </c>
      <c r="C272" s="50">
        <v>2</v>
      </c>
      <c r="D272" s="50">
        <v>3</v>
      </c>
      <c r="E272" s="533">
        <v>4</v>
      </c>
      <c r="F272" s="535"/>
      <c r="G272" s="50">
        <v>5</v>
      </c>
      <c r="H272" s="163"/>
    </row>
    <row r="273" spans="1:8" ht="15" hidden="1">
      <c r="A273" s="147"/>
      <c r="B273" s="50"/>
      <c r="C273" s="50"/>
      <c r="D273" s="50"/>
      <c r="E273" s="533"/>
      <c r="F273" s="535"/>
      <c r="G273" s="50"/>
      <c r="H273" s="163"/>
    </row>
    <row r="274" spans="1:8" ht="15" hidden="1">
      <c r="A274" s="147"/>
      <c r="B274" s="50"/>
      <c r="C274" s="36"/>
      <c r="D274" s="50"/>
      <c r="E274" s="533"/>
      <c r="F274" s="535"/>
      <c r="G274" s="123"/>
      <c r="H274" s="163"/>
    </row>
    <row r="275" spans="1:8" ht="15" hidden="1">
      <c r="A275" s="147"/>
      <c r="B275" s="585" t="s">
        <v>226</v>
      </c>
      <c r="C275" s="586"/>
      <c r="D275" s="586"/>
      <c r="E275" s="586"/>
      <c r="F275" s="587"/>
      <c r="G275" s="122">
        <f>SUM(G274:G274)</f>
        <v>0</v>
      </c>
      <c r="H275" s="163"/>
    </row>
    <row r="276" spans="1:8" ht="15" hidden="1">
      <c r="A276" s="147"/>
      <c r="B276" s="171"/>
      <c r="C276" s="171"/>
      <c r="D276" s="171"/>
      <c r="E276" s="171"/>
      <c r="F276" s="171"/>
      <c r="G276" s="171"/>
      <c r="H276" s="163"/>
    </row>
    <row r="277" spans="1:8" ht="15" hidden="1">
      <c r="A277" s="147"/>
      <c r="B277" s="621" t="s">
        <v>267</v>
      </c>
      <c r="C277" s="621"/>
      <c r="D277" s="621"/>
      <c r="E277" s="621"/>
      <c r="F277" s="621"/>
      <c r="G277" s="621"/>
      <c r="H277" s="163"/>
    </row>
    <row r="278" spans="1:8" ht="15" hidden="1">
      <c r="A278" s="147"/>
      <c r="B278" s="163"/>
      <c r="C278" s="163"/>
      <c r="D278" s="164"/>
      <c r="E278" s="163"/>
      <c r="F278" s="163"/>
      <c r="G278" s="163"/>
      <c r="H278" s="163"/>
    </row>
    <row r="279" spans="1:8" ht="46.5" hidden="1">
      <c r="A279" s="147"/>
      <c r="B279" s="50" t="s">
        <v>33</v>
      </c>
      <c r="C279" s="50" t="s">
        <v>40</v>
      </c>
      <c r="D279" s="50" t="s">
        <v>84</v>
      </c>
      <c r="E279" s="50" t="s">
        <v>48</v>
      </c>
      <c r="F279" s="50" t="s">
        <v>49</v>
      </c>
      <c r="G279" s="50" t="s">
        <v>47</v>
      </c>
      <c r="H279" s="163"/>
    </row>
    <row r="280" spans="1:8" ht="15" hidden="1">
      <c r="A280" s="147"/>
      <c r="B280" s="50">
        <v>1</v>
      </c>
      <c r="C280" s="50">
        <v>2</v>
      </c>
      <c r="D280" s="50">
        <v>3</v>
      </c>
      <c r="E280" s="50">
        <v>4</v>
      </c>
      <c r="F280" s="50">
        <v>5</v>
      </c>
      <c r="G280" s="50">
        <v>6</v>
      </c>
      <c r="H280" s="163"/>
    </row>
    <row r="281" spans="1:8" ht="15" hidden="1">
      <c r="A281" s="147"/>
      <c r="B281" s="50"/>
      <c r="C281" s="217"/>
      <c r="D281" s="170"/>
      <c r="E281" s="50"/>
      <c r="F281" s="50"/>
      <c r="G281" s="170"/>
      <c r="H281" s="163"/>
    </row>
    <row r="282" spans="1:8" ht="15" hidden="1">
      <c r="A282" s="172"/>
      <c r="B282" s="585" t="s">
        <v>73</v>
      </c>
      <c r="C282" s="586"/>
      <c r="D282" s="586"/>
      <c r="E282" s="586"/>
      <c r="F282" s="587"/>
      <c r="G282" s="122">
        <f>SUM(G281:G281)</f>
        <v>0</v>
      </c>
      <c r="H282" s="22"/>
    </row>
    <row r="283" spans="1:8" ht="15" hidden="1">
      <c r="A283" s="172"/>
      <c r="B283" s="171"/>
      <c r="C283" s="171"/>
      <c r="D283" s="171"/>
      <c r="E283" s="171"/>
      <c r="F283" s="171"/>
      <c r="G283" s="178"/>
      <c r="H283" s="22"/>
    </row>
    <row r="284" spans="1:8" ht="15" hidden="1">
      <c r="A284" s="172"/>
      <c r="B284" s="582" t="s">
        <v>268</v>
      </c>
      <c r="C284" s="582"/>
      <c r="D284" s="582"/>
      <c r="E284" s="582"/>
      <c r="F284" s="582"/>
      <c r="G284" s="582"/>
      <c r="H284" s="22"/>
    </row>
    <row r="285" spans="1:8" ht="15" hidden="1">
      <c r="A285" s="172"/>
      <c r="B285" s="163"/>
      <c r="C285" s="163"/>
      <c r="D285" s="164"/>
      <c r="E285" s="163"/>
      <c r="F285" s="163"/>
      <c r="G285" s="163"/>
      <c r="H285" s="22"/>
    </row>
    <row r="286" spans="1:8" ht="30.75" hidden="1">
      <c r="A286" s="172"/>
      <c r="B286" s="50" t="s">
        <v>33</v>
      </c>
      <c r="C286" s="50" t="s">
        <v>40</v>
      </c>
      <c r="D286" s="50" t="s">
        <v>54</v>
      </c>
      <c r="E286" s="27" t="s">
        <v>285</v>
      </c>
      <c r="F286" s="50" t="s">
        <v>47</v>
      </c>
      <c r="G286" s="8"/>
      <c r="H286" s="22"/>
    </row>
    <row r="287" spans="1:8" ht="15" hidden="1">
      <c r="A287" s="172"/>
      <c r="B287" s="118">
        <v>1</v>
      </c>
      <c r="C287" s="118">
        <v>2</v>
      </c>
      <c r="D287" s="118">
        <v>3</v>
      </c>
      <c r="E287" s="158">
        <v>4</v>
      </c>
      <c r="F287" s="50">
        <v>5</v>
      </c>
      <c r="G287" s="8"/>
      <c r="H287" s="22"/>
    </row>
    <row r="288" spans="1:8" ht="15" hidden="1">
      <c r="A288" s="172"/>
      <c r="B288" s="118"/>
      <c r="C288" s="50"/>
      <c r="D288" s="118"/>
      <c r="E288" s="158"/>
      <c r="F288" s="187"/>
      <c r="G288" s="8"/>
      <c r="H288" s="22"/>
    </row>
    <row r="289" spans="1:8" ht="15" hidden="1">
      <c r="A289" s="147"/>
      <c r="B289" s="574" t="s">
        <v>227</v>
      </c>
      <c r="C289" s="575"/>
      <c r="D289" s="575"/>
      <c r="E289" s="576"/>
      <c r="F289" s="122">
        <f>SUM(F288:F288)</f>
        <v>0</v>
      </c>
      <c r="G289" s="9"/>
      <c r="H289" s="163"/>
    </row>
    <row r="290" spans="1:8" ht="15" hidden="1">
      <c r="A290" s="147"/>
      <c r="B290" s="176"/>
      <c r="C290" s="176"/>
      <c r="D290" s="176"/>
      <c r="E290" s="176"/>
      <c r="F290" s="178"/>
      <c r="G290" s="9"/>
      <c r="H290" s="163"/>
    </row>
    <row r="291" spans="1:8" ht="15">
      <c r="A291" s="147"/>
      <c r="B291" s="582" t="s">
        <v>269</v>
      </c>
      <c r="C291" s="582"/>
      <c r="D291" s="582"/>
      <c r="E291" s="582"/>
      <c r="F291" s="582"/>
      <c r="G291" s="582"/>
      <c r="H291" s="163"/>
    </row>
    <row r="292" spans="1:8" ht="30.75">
      <c r="A292" s="147"/>
      <c r="B292" s="50" t="s">
        <v>33</v>
      </c>
      <c r="C292" s="50" t="s">
        <v>40</v>
      </c>
      <c r="D292" s="50" t="s">
        <v>50</v>
      </c>
      <c r="E292" s="27" t="s">
        <v>51</v>
      </c>
      <c r="F292" s="50" t="s">
        <v>47</v>
      </c>
      <c r="G292" s="8"/>
      <c r="H292" s="163"/>
    </row>
    <row r="293" spans="1:8" ht="15">
      <c r="A293" s="147"/>
      <c r="B293" s="50">
        <v>1</v>
      </c>
      <c r="C293" s="50">
        <v>2</v>
      </c>
      <c r="D293" s="50">
        <v>3</v>
      </c>
      <c r="E293" s="27">
        <v>4</v>
      </c>
      <c r="F293" s="50">
        <v>5</v>
      </c>
      <c r="G293" s="8"/>
      <c r="H293" s="163"/>
    </row>
    <row r="294" spans="1:8" ht="15">
      <c r="A294" s="147"/>
      <c r="B294" s="118">
        <v>1</v>
      </c>
      <c r="C294" s="36" t="s">
        <v>398</v>
      </c>
      <c r="D294" s="118">
        <v>1</v>
      </c>
      <c r="E294" s="158">
        <v>12</v>
      </c>
      <c r="F294" s="123">
        <v>50000</v>
      </c>
      <c r="G294" s="8"/>
      <c r="H294" s="174"/>
    </row>
    <row r="295" spans="1:8" ht="15">
      <c r="A295" s="172"/>
      <c r="B295" s="574" t="s">
        <v>69</v>
      </c>
      <c r="C295" s="575"/>
      <c r="D295" s="575"/>
      <c r="E295" s="576"/>
      <c r="F295" s="122">
        <f>SUM(F294:F294)</f>
        <v>50000</v>
      </c>
      <c r="G295" s="9"/>
      <c r="H295" s="175"/>
    </row>
    <row r="296" spans="1:8" ht="15">
      <c r="A296" s="147"/>
      <c r="B296" s="559" t="s">
        <v>270</v>
      </c>
      <c r="C296" s="559"/>
      <c r="D296" s="559"/>
      <c r="E296" s="559"/>
      <c r="F296" s="559"/>
      <c r="G296" s="559"/>
      <c r="H296" s="163"/>
    </row>
    <row r="297" spans="1:8" ht="30.75">
      <c r="A297" s="147"/>
      <c r="B297" s="50" t="s">
        <v>33</v>
      </c>
      <c r="C297" s="533" t="s">
        <v>40</v>
      </c>
      <c r="D297" s="534"/>
      <c r="E297" s="535"/>
      <c r="F297" s="50" t="s">
        <v>52</v>
      </c>
      <c r="G297" s="50" t="s">
        <v>53</v>
      </c>
      <c r="H297" s="163"/>
    </row>
    <row r="298" spans="1:8" ht="15">
      <c r="A298" s="147"/>
      <c r="B298" s="50">
        <v>1</v>
      </c>
      <c r="C298" s="533">
        <v>2</v>
      </c>
      <c r="D298" s="534"/>
      <c r="E298" s="535"/>
      <c r="F298" s="50">
        <v>3</v>
      </c>
      <c r="G298" s="50">
        <v>4</v>
      </c>
      <c r="H298" s="163"/>
    </row>
    <row r="299" spans="1:8" ht="15" customHeight="1">
      <c r="A299" s="147"/>
      <c r="B299" s="118">
        <v>1</v>
      </c>
      <c r="C299" s="571" t="s">
        <v>314</v>
      </c>
      <c r="D299" s="572"/>
      <c r="E299" s="573"/>
      <c r="F299" s="173" t="s">
        <v>313</v>
      </c>
      <c r="G299" s="179">
        <v>30000</v>
      </c>
      <c r="H299" s="174"/>
    </row>
    <row r="300" spans="1:8" ht="0.75" customHeight="1" hidden="1">
      <c r="A300" s="147"/>
      <c r="B300" s="118">
        <v>2</v>
      </c>
      <c r="C300" s="571" t="s">
        <v>399</v>
      </c>
      <c r="D300" s="572"/>
      <c r="E300" s="573"/>
      <c r="F300" s="173" t="s">
        <v>313</v>
      </c>
      <c r="G300" s="179">
        <v>0</v>
      </c>
      <c r="H300" s="174"/>
    </row>
    <row r="301" spans="1:8" ht="15">
      <c r="A301" s="147"/>
      <c r="B301" s="118">
        <v>2</v>
      </c>
      <c r="C301" s="571" t="s">
        <v>400</v>
      </c>
      <c r="D301" s="572"/>
      <c r="E301" s="573"/>
      <c r="F301" s="173" t="s">
        <v>313</v>
      </c>
      <c r="G301" s="179">
        <v>95000</v>
      </c>
      <c r="H301" s="174"/>
    </row>
    <row r="302" spans="1:8" ht="15">
      <c r="A302" s="147"/>
      <c r="B302" s="118">
        <v>3</v>
      </c>
      <c r="C302" s="571" t="s">
        <v>401</v>
      </c>
      <c r="D302" s="572"/>
      <c r="E302" s="573"/>
      <c r="F302" s="173" t="s">
        <v>313</v>
      </c>
      <c r="G302" s="179">
        <v>4151840</v>
      </c>
      <c r="H302" s="174"/>
    </row>
    <row r="303" spans="1:8" ht="15">
      <c r="A303" s="147"/>
      <c r="B303" s="574" t="s">
        <v>71</v>
      </c>
      <c r="C303" s="575"/>
      <c r="D303" s="575"/>
      <c r="E303" s="575"/>
      <c r="F303" s="576"/>
      <c r="G303" s="180">
        <f>SUM(G299:G302)</f>
        <v>4276840</v>
      </c>
      <c r="H303" s="163"/>
    </row>
    <row r="304" spans="1:8" ht="15" hidden="1">
      <c r="A304" s="147"/>
      <c r="B304" s="561" t="s">
        <v>271</v>
      </c>
      <c r="C304" s="561"/>
      <c r="D304" s="561"/>
      <c r="E304" s="561"/>
      <c r="F304" s="561"/>
      <c r="G304" s="561"/>
      <c r="H304" s="163"/>
    </row>
    <row r="305" spans="1:8" ht="15" hidden="1">
      <c r="A305" s="147"/>
      <c r="B305" s="206"/>
      <c r="C305" s="206"/>
      <c r="D305" s="206"/>
      <c r="E305" s="206"/>
      <c r="F305" s="206"/>
      <c r="G305" s="206"/>
      <c r="H305" s="163"/>
    </row>
    <row r="306" spans="1:8" ht="30.75" hidden="1">
      <c r="A306" s="147"/>
      <c r="B306" s="50" t="s">
        <v>33</v>
      </c>
      <c r="C306" s="530" t="s">
        <v>40</v>
      </c>
      <c r="D306" s="530"/>
      <c r="E306" s="50" t="s">
        <v>54</v>
      </c>
      <c r="F306" s="50" t="s">
        <v>55</v>
      </c>
      <c r="G306" s="50" t="s">
        <v>47</v>
      </c>
      <c r="H306" s="163"/>
    </row>
    <row r="307" spans="1:8" ht="15" hidden="1">
      <c r="A307" s="147"/>
      <c r="B307" s="26">
        <v>1</v>
      </c>
      <c r="C307" s="615">
        <v>2</v>
      </c>
      <c r="D307" s="616"/>
      <c r="E307" s="26">
        <v>3</v>
      </c>
      <c r="F307" s="26">
        <v>4</v>
      </c>
      <c r="G307" s="50">
        <v>5</v>
      </c>
      <c r="H307" s="163"/>
    </row>
    <row r="308" spans="1:8" ht="15" hidden="1">
      <c r="A308" s="147"/>
      <c r="B308" s="26"/>
      <c r="C308" s="563"/>
      <c r="D308" s="564"/>
      <c r="E308" s="26"/>
      <c r="F308" s="26"/>
      <c r="G308" s="50"/>
      <c r="H308" s="163"/>
    </row>
    <row r="309" spans="1:8" ht="15" hidden="1">
      <c r="A309" s="147"/>
      <c r="B309" s="26"/>
      <c r="C309" s="569"/>
      <c r="D309" s="569"/>
      <c r="E309" s="173"/>
      <c r="F309" s="184"/>
      <c r="G309" s="184"/>
      <c r="H309" s="174"/>
    </row>
    <row r="310" spans="1:8" ht="15" hidden="1">
      <c r="A310" s="147"/>
      <c r="B310" s="574" t="s">
        <v>60</v>
      </c>
      <c r="C310" s="575"/>
      <c r="D310" s="575"/>
      <c r="E310" s="575"/>
      <c r="F310" s="576"/>
      <c r="G310" s="161">
        <f>SUM(G308)</f>
        <v>0</v>
      </c>
      <c r="H310" s="174"/>
    </row>
    <row r="311" spans="1:8" ht="15" hidden="1">
      <c r="A311" s="147"/>
      <c r="B311" s="181"/>
      <c r="C311" s="182"/>
      <c r="D311" s="182"/>
      <c r="E311" s="182"/>
      <c r="F311" s="181"/>
      <c r="G311" s="183"/>
      <c r="H311" s="174"/>
    </row>
    <row r="312" spans="1:8" ht="15" hidden="1">
      <c r="A312" s="147"/>
      <c r="B312" s="562" t="s">
        <v>272</v>
      </c>
      <c r="C312" s="562"/>
      <c r="D312" s="562"/>
      <c r="E312" s="562"/>
      <c r="F312" s="562"/>
      <c r="G312" s="562"/>
      <c r="H312" s="174"/>
    </row>
    <row r="313" spans="1:8" ht="15" hidden="1">
      <c r="A313" s="147"/>
      <c r="B313" s="181"/>
      <c r="C313" s="182"/>
      <c r="D313" s="182"/>
      <c r="E313" s="182"/>
      <c r="F313" s="181"/>
      <c r="G313" s="183"/>
      <c r="H313" s="174"/>
    </row>
    <row r="314" spans="1:8" ht="30.75" hidden="1">
      <c r="A314" s="147"/>
      <c r="B314" s="50" t="s">
        <v>33</v>
      </c>
      <c r="C314" s="533" t="s">
        <v>40</v>
      </c>
      <c r="D314" s="534"/>
      <c r="E314" s="535"/>
      <c r="F314" s="50" t="s">
        <v>52</v>
      </c>
      <c r="G314" s="50" t="s">
        <v>53</v>
      </c>
      <c r="H314" s="174"/>
    </row>
    <row r="315" spans="1:8" ht="15" hidden="1">
      <c r="A315" s="147"/>
      <c r="B315" s="118"/>
      <c r="C315" s="571"/>
      <c r="D315" s="617"/>
      <c r="E315" s="618"/>
      <c r="F315" s="173"/>
      <c r="G315" s="184"/>
      <c r="H315" s="174"/>
    </row>
    <row r="316" spans="1:8" ht="15" hidden="1">
      <c r="A316" s="147"/>
      <c r="B316" s="118"/>
      <c r="C316" s="571"/>
      <c r="D316" s="617"/>
      <c r="E316" s="618"/>
      <c r="F316" s="173"/>
      <c r="G316" s="184"/>
      <c r="H316" s="174"/>
    </row>
    <row r="317" spans="1:8" ht="15" hidden="1">
      <c r="A317" s="147"/>
      <c r="B317" s="574" t="s">
        <v>74</v>
      </c>
      <c r="C317" s="575"/>
      <c r="D317" s="575"/>
      <c r="E317" s="575"/>
      <c r="F317" s="576"/>
      <c r="G317" s="161">
        <f>SUM(G315:G316)</f>
        <v>0</v>
      </c>
      <c r="H317" s="174"/>
    </row>
    <row r="318" spans="1:8" ht="15" hidden="1">
      <c r="A318" s="147"/>
      <c r="B318" s="181"/>
      <c r="C318" s="182"/>
      <c r="D318" s="182"/>
      <c r="E318" s="182"/>
      <c r="F318" s="181"/>
      <c r="G318" s="183"/>
      <c r="H318" s="174"/>
    </row>
    <row r="319" spans="1:8" ht="15">
      <c r="A319" s="147"/>
      <c r="B319" s="559" t="s">
        <v>273</v>
      </c>
      <c r="C319" s="559"/>
      <c r="D319" s="559"/>
      <c r="E319" s="559"/>
      <c r="F319" s="559"/>
      <c r="G319" s="559"/>
      <c r="H319" s="163"/>
    </row>
    <row r="320" spans="1:8" ht="30.75">
      <c r="A320" s="147"/>
      <c r="B320" s="50" t="s">
        <v>33</v>
      </c>
      <c r="C320" s="533" t="s">
        <v>40</v>
      </c>
      <c r="D320" s="535"/>
      <c r="E320" s="50" t="s">
        <v>54</v>
      </c>
      <c r="F320" s="50" t="s">
        <v>55</v>
      </c>
      <c r="G320" s="50" t="s">
        <v>47</v>
      </c>
      <c r="H320" s="163"/>
    </row>
    <row r="321" spans="1:8" ht="15">
      <c r="A321" s="147"/>
      <c r="B321" s="50">
        <v>1</v>
      </c>
      <c r="C321" s="533">
        <v>2</v>
      </c>
      <c r="D321" s="535"/>
      <c r="E321" s="50">
        <v>3</v>
      </c>
      <c r="F321" s="50">
        <v>4</v>
      </c>
      <c r="G321" s="50">
        <v>5</v>
      </c>
      <c r="H321" s="163"/>
    </row>
    <row r="322" spans="1:8" ht="15">
      <c r="A322" s="147"/>
      <c r="B322" s="27">
        <v>1</v>
      </c>
      <c r="C322" s="571" t="s">
        <v>402</v>
      </c>
      <c r="D322" s="573"/>
      <c r="E322" s="173">
        <v>2</v>
      </c>
      <c r="F322" s="240">
        <f>G322/E322</f>
        <v>65000</v>
      </c>
      <c r="G322" s="239">
        <v>130000</v>
      </c>
      <c r="H322" s="163"/>
    </row>
    <row r="323" spans="1:8" ht="15">
      <c r="A323" s="147"/>
      <c r="B323" s="27">
        <v>2</v>
      </c>
      <c r="C323" s="571" t="s">
        <v>403</v>
      </c>
      <c r="D323" s="573"/>
      <c r="E323" s="173">
        <v>1500</v>
      </c>
      <c r="F323" s="240">
        <f>G323/E323</f>
        <v>596.6666666666666</v>
      </c>
      <c r="G323" s="239">
        <v>895000</v>
      </c>
      <c r="H323" s="163"/>
    </row>
    <row r="324" spans="1:8" ht="15">
      <c r="A324" s="147"/>
      <c r="B324" s="50">
        <v>3</v>
      </c>
      <c r="C324" s="569" t="s">
        <v>315</v>
      </c>
      <c r="D324" s="570"/>
      <c r="E324" s="173">
        <v>2</v>
      </c>
      <c r="F324" s="240">
        <f>G324/E324</f>
        <v>70500</v>
      </c>
      <c r="G324" s="239">
        <f>100000+41000</f>
        <v>141000</v>
      </c>
      <c r="H324" s="163"/>
    </row>
    <row r="325" spans="1:8" ht="15">
      <c r="A325" s="147"/>
      <c r="B325" s="50">
        <v>4</v>
      </c>
      <c r="C325" s="569" t="s">
        <v>404</v>
      </c>
      <c r="D325" s="570"/>
      <c r="E325" s="173">
        <v>120</v>
      </c>
      <c r="F325" s="240">
        <f>G325/E325</f>
        <v>3966.6666666666665</v>
      </c>
      <c r="G325" s="239">
        <v>476000</v>
      </c>
      <c r="H325" s="163"/>
    </row>
    <row r="326" spans="1:8" ht="15">
      <c r="A326" s="147"/>
      <c r="B326" s="574" t="s">
        <v>57</v>
      </c>
      <c r="C326" s="575"/>
      <c r="D326" s="575"/>
      <c r="E326" s="575"/>
      <c r="F326" s="576"/>
      <c r="G326" s="68">
        <f>G322+G324+G323+G325</f>
        <v>1642000</v>
      </c>
      <c r="H326" s="163"/>
    </row>
    <row r="327" spans="1:8" ht="15" hidden="1">
      <c r="A327" s="147"/>
      <c r="B327" s="582" t="s">
        <v>274</v>
      </c>
      <c r="C327" s="582"/>
      <c r="D327" s="582"/>
      <c r="E327" s="582"/>
      <c r="F327" s="582"/>
      <c r="G327" s="582"/>
      <c r="H327" s="163"/>
    </row>
    <row r="328" spans="1:8" ht="15" hidden="1">
      <c r="A328" s="147"/>
      <c r="B328" s="163"/>
      <c r="C328" s="163"/>
      <c r="D328" s="164"/>
      <c r="E328" s="163"/>
      <c r="F328" s="163"/>
      <c r="G328" s="163"/>
      <c r="H328" s="163"/>
    </row>
    <row r="329" spans="1:8" ht="30.75" hidden="1">
      <c r="A329" s="147"/>
      <c r="B329" s="50" t="s">
        <v>33</v>
      </c>
      <c r="C329" s="533" t="s">
        <v>40</v>
      </c>
      <c r="D329" s="535"/>
      <c r="E329" s="50" t="s">
        <v>54</v>
      </c>
      <c r="F329" s="50" t="s">
        <v>55</v>
      </c>
      <c r="G329" s="50" t="s">
        <v>47</v>
      </c>
      <c r="H329" s="163"/>
    </row>
    <row r="330" spans="1:8" ht="15" hidden="1">
      <c r="A330" s="147"/>
      <c r="B330" s="194">
        <v>1</v>
      </c>
      <c r="C330" s="580">
        <v>2</v>
      </c>
      <c r="D330" s="581"/>
      <c r="E330" s="193">
        <v>3</v>
      </c>
      <c r="F330" s="193">
        <v>4</v>
      </c>
      <c r="G330" s="30">
        <v>5</v>
      </c>
      <c r="H330" s="163"/>
    </row>
    <row r="331" spans="1:8" ht="15" hidden="1">
      <c r="A331" s="147"/>
      <c r="B331" s="27"/>
      <c r="C331" s="619"/>
      <c r="D331" s="627"/>
      <c r="E331" s="173"/>
      <c r="F331" s="179"/>
      <c r="G331" s="123"/>
      <c r="H331" s="163"/>
    </row>
    <row r="332" spans="1:8" ht="15" hidden="1">
      <c r="A332" s="147"/>
      <c r="B332" s="574" t="s">
        <v>228</v>
      </c>
      <c r="C332" s="575"/>
      <c r="D332" s="575"/>
      <c r="E332" s="575"/>
      <c r="F332" s="576"/>
      <c r="G332" s="68">
        <f>SUM(G331:G331)</f>
        <v>0</v>
      </c>
      <c r="H332" s="163"/>
    </row>
    <row r="333" ht="15" hidden="1"/>
    <row r="334" spans="1:8" ht="15" hidden="1">
      <c r="A334" s="147"/>
      <c r="B334" s="559" t="s">
        <v>275</v>
      </c>
      <c r="C334" s="559"/>
      <c r="D334" s="559"/>
      <c r="E334" s="559"/>
      <c r="F334" s="559"/>
      <c r="G334" s="559"/>
      <c r="H334" s="163"/>
    </row>
    <row r="335" spans="1:8" ht="15" hidden="1">
      <c r="A335" s="147"/>
      <c r="B335" s="163"/>
      <c r="C335" s="163"/>
      <c r="D335" s="164"/>
      <c r="E335" s="163"/>
      <c r="F335" s="163"/>
      <c r="G335" s="163"/>
      <c r="H335" s="163"/>
    </row>
    <row r="336" spans="1:8" ht="30.75" hidden="1">
      <c r="A336" s="147"/>
      <c r="B336" s="50" t="s">
        <v>33</v>
      </c>
      <c r="C336" s="533" t="s">
        <v>40</v>
      </c>
      <c r="D336" s="535"/>
      <c r="E336" s="50" t="s">
        <v>54</v>
      </c>
      <c r="F336" s="50" t="s">
        <v>55</v>
      </c>
      <c r="G336" s="50" t="s">
        <v>47</v>
      </c>
      <c r="H336" s="163"/>
    </row>
    <row r="337" spans="1:8" ht="15" hidden="1">
      <c r="A337" s="147"/>
      <c r="B337" s="194">
        <v>1</v>
      </c>
      <c r="C337" s="580">
        <v>2</v>
      </c>
      <c r="D337" s="581"/>
      <c r="E337" s="193">
        <v>3</v>
      </c>
      <c r="F337" s="193">
        <v>4</v>
      </c>
      <c r="G337" s="30">
        <v>5</v>
      </c>
      <c r="H337" s="163"/>
    </row>
    <row r="338" spans="1:8" ht="15" hidden="1">
      <c r="A338" s="147"/>
      <c r="B338" s="50"/>
      <c r="C338" s="569"/>
      <c r="D338" s="570"/>
      <c r="E338" s="173"/>
      <c r="F338" s="179"/>
      <c r="G338" s="123"/>
      <c r="H338" s="163"/>
    </row>
    <row r="339" spans="1:8" ht="15" hidden="1">
      <c r="A339" s="147"/>
      <c r="B339" s="574" t="s">
        <v>229</v>
      </c>
      <c r="C339" s="575"/>
      <c r="D339" s="575"/>
      <c r="E339" s="575"/>
      <c r="F339" s="576"/>
      <c r="G339" s="68">
        <f>G338</f>
        <v>0</v>
      </c>
      <c r="H339" s="163"/>
    </row>
    <row r="340" ht="15" hidden="1"/>
    <row r="341" spans="1:8" ht="15" hidden="1">
      <c r="A341" s="147"/>
      <c r="B341" s="559" t="s">
        <v>276</v>
      </c>
      <c r="C341" s="559"/>
      <c r="D341" s="559"/>
      <c r="E341" s="559"/>
      <c r="F341" s="559"/>
      <c r="G341" s="559"/>
      <c r="H341" s="163"/>
    </row>
    <row r="342" spans="1:8" ht="15" hidden="1">
      <c r="A342" s="147"/>
      <c r="B342" s="163"/>
      <c r="C342" s="163"/>
      <c r="D342" s="164"/>
      <c r="E342" s="163"/>
      <c r="F342" s="163"/>
      <c r="G342" s="163"/>
      <c r="H342" s="163"/>
    </row>
    <row r="343" spans="1:8" ht="30.75" hidden="1">
      <c r="A343" s="147"/>
      <c r="B343" s="50" t="s">
        <v>33</v>
      </c>
      <c r="C343" s="533" t="s">
        <v>40</v>
      </c>
      <c r="D343" s="535"/>
      <c r="E343" s="50" t="s">
        <v>54</v>
      </c>
      <c r="F343" s="50" t="s">
        <v>55</v>
      </c>
      <c r="G343" s="50" t="s">
        <v>47</v>
      </c>
      <c r="H343" s="163"/>
    </row>
    <row r="344" spans="1:8" ht="15" hidden="1">
      <c r="A344" s="147"/>
      <c r="B344" s="194">
        <v>1</v>
      </c>
      <c r="C344" s="580">
        <v>2</v>
      </c>
      <c r="D344" s="581"/>
      <c r="E344" s="193">
        <v>3</v>
      </c>
      <c r="F344" s="193">
        <v>4</v>
      </c>
      <c r="G344" s="30">
        <v>5</v>
      </c>
      <c r="H344" s="163"/>
    </row>
    <row r="345" spans="1:8" ht="15" hidden="1">
      <c r="A345" s="147"/>
      <c r="B345" s="27"/>
      <c r="C345" s="571"/>
      <c r="D345" s="573"/>
      <c r="E345" s="218"/>
      <c r="F345" s="179"/>
      <c r="G345" s="123"/>
      <c r="H345" s="163"/>
    </row>
    <row r="346" spans="1:8" ht="15" hidden="1">
      <c r="A346" s="147"/>
      <c r="B346" s="50"/>
      <c r="C346" s="569"/>
      <c r="D346" s="570"/>
      <c r="E346" s="173"/>
      <c r="F346" s="179"/>
      <c r="G346" s="123"/>
      <c r="H346" s="163"/>
    </row>
    <row r="347" spans="1:8" ht="15" hidden="1">
      <c r="A347" s="147"/>
      <c r="B347" s="574" t="s">
        <v>230</v>
      </c>
      <c r="C347" s="575"/>
      <c r="D347" s="575"/>
      <c r="E347" s="575"/>
      <c r="F347" s="576"/>
      <c r="G347" s="68">
        <f>G345+G346</f>
        <v>0</v>
      </c>
      <c r="H347" s="163"/>
    </row>
    <row r="348" ht="15" hidden="1"/>
    <row r="349" spans="1:8" ht="15" hidden="1">
      <c r="A349" s="147"/>
      <c r="B349" s="559" t="s">
        <v>277</v>
      </c>
      <c r="C349" s="559"/>
      <c r="D349" s="559"/>
      <c r="E349" s="559"/>
      <c r="F349" s="559"/>
      <c r="G349" s="559"/>
      <c r="H349" s="163"/>
    </row>
    <row r="350" spans="1:8" ht="15" hidden="1">
      <c r="A350" s="147"/>
      <c r="B350" s="163"/>
      <c r="C350" s="163"/>
      <c r="D350" s="164"/>
      <c r="E350" s="163"/>
      <c r="F350" s="163"/>
      <c r="G350" s="163"/>
      <c r="H350" s="163"/>
    </row>
    <row r="351" spans="1:8" ht="30.75" hidden="1">
      <c r="A351" s="147"/>
      <c r="B351" s="50" t="s">
        <v>33</v>
      </c>
      <c r="C351" s="533" t="s">
        <v>40</v>
      </c>
      <c r="D351" s="535"/>
      <c r="E351" s="50" t="s">
        <v>54</v>
      </c>
      <c r="F351" s="50" t="s">
        <v>55</v>
      </c>
      <c r="G351" s="50" t="s">
        <v>47</v>
      </c>
      <c r="H351" s="163"/>
    </row>
    <row r="352" spans="1:8" ht="15" hidden="1">
      <c r="A352" s="147"/>
      <c r="B352" s="194">
        <v>1</v>
      </c>
      <c r="C352" s="580">
        <v>2</v>
      </c>
      <c r="D352" s="581"/>
      <c r="E352" s="193">
        <v>3</v>
      </c>
      <c r="F352" s="193">
        <v>4</v>
      </c>
      <c r="G352" s="30">
        <v>5</v>
      </c>
      <c r="H352" s="163"/>
    </row>
    <row r="353" spans="1:8" ht="15" hidden="1">
      <c r="A353" s="147"/>
      <c r="B353" s="50"/>
      <c r="C353" s="569"/>
      <c r="D353" s="570"/>
      <c r="E353" s="173"/>
      <c r="F353" s="179"/>
      <c r="G353" s="123"/>
      <c r="H353" s="163"/>
    </row>
    <row r="354" spans="1:8" ht="15" hidden="1">
      <c r="A354" s="147"/>
      <c r="B354" s="574" t="s">
        <v>231</v>
      </c>
      <c r="C354" s="575"/>
      <c r="D354" s="575"/>
      <c r="E354" s="575"/>
      <c r="F354" s="576"/>
      <c r="G354" s="68">
        <f>G353</f>
        <v>0</v>
      </c>
      <c r="H354" s="163"/>
    </row>
    <row r="355" ht="15" hidden="1"/>
    <row r="356" spans="1:8" ht="15" hidden="1">
      <c r="A356" s="147"/>
      <c r="B356" s="559" t="s">
        <v>278</v>
      </c>
      <c r="C356" s="559"/>
      <c r="D356" s="559"/>
      <c r="E356" s="559"/>
      <c r="F356" s="559"/>
      <c r="G356" s="559"/>
      <c r="H356" s="163"/>
    </row>
    <row r="357" spans="1:8" ht="15" hidden="1">
      <c r="A357" s="147"/>
      <c r="B357" s="163"/>
      <c r="C357" s="163"/>
      <c r="D357" s="164"/>
      <c r="E357" s="163"/>
      <c r="F357" s="163"/>
      <c r="G357" s="163"/>
      <c r="H357" s="163"/>
    </row>
    <row r="358" spans="1:8" ht="30.75" hidden="1">
      <c r="A358" s="147"/>
      <c r="B358" s="50" t="s">
        <v>33</v>
      </c>
      <c r="C358" s="533" t="s">
        <v>40</v>
      </c>
      <c r="D358" s="535"/>
      <c r="E358" s="50" t="s">
        <v>54</v>
      </c>
      <c r="F358" s="50" t="s">
        <v>55</v>
      </c>
      <c r="G358" s="50" t="s">
        <v>47</v>
      </c>
      <c r="H358" s="163"/>
    </row>
    <row r="359" spans="1:8" ht="15" hidden="1">
      <c r="A359" s="147"/>
      <c r="B359" s="194">
        <v>1</v>
      </c>
      <c r="C359" s="580">
        <v>2</v>
      </c>
      <c r="D359" s="581"/>
      <c r="E359" s="193">
        <v>3</v>
      </c>
      <c r="F359" s="193">
        <v>4</v>
      </c>
      <c r="G359" s="30">
        <v>5</v>
      </c>
      <c r="H359" s="163"/>
    </row>
    <row r="360" spans="1:8" ht="15" hidden="1">
      <c r="A360" s="147"/>
      <c r="B360" s="194"/>
      <c r="C360" s="580"/>
      <c r="D360" s="583"/>
      <c r="E360" s="193"/>
      <c r="F360" s="193"/>
      <c r="G360" s="30"/>
      <c r="H360" s="163"/>
    </row>
    <row r="361" spans="1:8" ht="15" hidden="1">
      <c r="A361" s="147"/>
      <c r="B361" s="574" t="s">
        <v>59</v>
      </c>
      <c r="C361" s="575"/>
      <c r="D361" s="575"/>
      <c r="E361" s="575"/>
      <c r="F361" s="576"/>
      <c r="G361" s="68">
        <v>0</v>
      </c>
      <c r="H361" s="163"/>
    </row>
    <row r="362" ht="15" hidden="1"/>
    <row r="363" spans="1:8" ht="15">
      <c r="A363" s="147"/>
      <c r="B363" s="559" t="s">
        <v>279</v>
      </c>
      <c r="C363" s="559"/>
      <c r="D363" s="559"/>
      <c r="E363" s="559"/>
      <c r="F363" s="559"/>
      <c r="G363" s="559"/>
      <c r="H363" s="163"/>
    </row>
    <row r="364" spans="1:8" ht="30.75">
      <c r="A364" s="147"/>
      <c r="B364" s="50" t="s">
        <v>33</v>
      </c>
      <c r="C364" s="533" t="s">
        <v>40</v>
      </c>
      <c r="D364" s="535"/>
      <c r="E364" s="50" t="s">
        <v>54</v>
      </c>
      <c r="F364" s="50" t="s">
        <v>55</v>
      </c>
      <c r="G364" s="50" t="s">
        <v>47</v>
      </c>
      <c r="H364" s="163"/>
    </row>
    <row r="365" spans="1:8" ht="15">
      <c r="A365" s="147"/>
      <c r="B365" s="50">
        <v>1</v>
      </c>
      <c r="C365" s="533">
        <v>2</v>
      </c>
      <c r="D365" s="535"/>
      <c r="E365" s="50">
        <v>3</v>
      </c>
      <c r="F365" s="50">
        <v>4</v>
      </c>
      <c r="G365" s="50">
        <v>5</v>
      </c>
      <c r="H365" s="163"/>
    </row>
    <row r="366" spans="1:8" ht="15">
      <c r="A366" s="147"/>
      <c r="B366" s="194" t="s">
        <v>316</v>
      </c>
      <c r="C366" s="557" t="s">
        <v>440</v>
      </c>
      <c r="D366" s="558"/>
      <c r="E366" s="193" t="s">
        <v>445</v>
      </c>
      <c r="F366" s="218">
        <f>G366/E366</f>
        <v>300</v>
      </c>
      <c r="G366" s="239">
        <v>60000</v>
      </c>
      <c r="H366" s="163"/>
    </row>
    <row r="367" spans="1:8" ht="15">
      <c r="A367" s="147"/>
      <c r="B367" s="574" t="s">
        <v>56</v>
      </c>
      <c r="C367" s="575"/>
      <c r="D367" s="575"/>
      <c r="E367" s="575"/>
      <c r="F367" s="576"/>
      <c r="G367" s="68">
        <f>SUM(G366:G366)</f>
        <v>60000</v>
      </c>
      <c r="H367" s="163"/>
    </row>
    <row r="368" spans="2:9" s="131" customFormat="1" ht="17.25" customHeight="1">
      <c r="B368" s="582" t="s">
        <v>281</v>
      </c>
      <c r="C368" s="582"/>
      <c r="D368" s="582"/>
      <c r="E368" s="582"/>
      <c r="F368" s="582"/>
      <c r="G368" s="582"/>
      <c r="H368" s="582"/>
      <c r="I368" s="6"/>
    </row>
    <row r="369" spans="2:9" s="131" customFormat="1" ht="30.75">
      <c r="B369" s="50" t="s">
        <v>33</v>
      </c>
      <c r="C369" s="533" t="s">
        <v>40</v>
      </c>
      <c r="D369" s="535"/>
      <c r="E369" s="50" t="s">
        <v>54</v>
      </c>
      <c r="F369" s="50" t="s">
        <v>55</v>
      </c>
      <c r="G369" s="50" t="s">
        <v>47</v>
      </c>
      <c r="I369" s="6"/>
    </row>
    <row r="370" spans="2:9" s="131" customFormat="1" ht="15">
      <c r="B370" s="50">
        <v>1</v>
      </c>
      <c r="C370" s="533">
        <v>2</v>
      </c>
      <c r="D370" s="535"/>
      <c r="E370" s="50">
        <v>3</v>
      </c>
      <c r="F370" s="50">
        <v>4</v>
      </c>
      <c r="G370" s="50">
        <v>5</v>
      </c>
      <c r="I370" s="6"/>
    </row>
    <row r="371" spans="2:9" s="131" customFormat="1" ht="31.5" customHeight="1">
      <c r="B371" s="194" t="s">
        <v>316</v>
      </c>
      <c r="C371" s="557" t="s">
        <v>490</v>
      </c>
      <c r="D371" s="558"/>
      <c r="E371" s="193" t="s">
        <v>535</v>
      </c>
      <c r="F371" s="218">
        <f>G371/E371</f>
        <v>179.64071856287424</v>
      </c>
      <c r="G371" s="239">
        <v>30000</v>
      </c>
      <c r="H371" s="316"/>
      <c r="I371" s="6"/>
    </row>
    <row r="372" spans="2:7" ht="15" hidden="1">
      <c r="B372" s="50"/>
      <c r="C372" s="569"/>
      <c r="D372" s="570"/>
      <c r="E372" s="173"/>
      <c r="F372" s="179"/>
      <c r="G372" s="123"/>
    </row>
    <row r="373" spans="2:9" s="131" customFormat="1" ht="15">
      <c r="B373" s="574" t="s">
        <v>58</v>
      </c>
      <c r="C373" s="575"/>
      <c r="D373" s="575"/>
      <c r="E373" s="575"/>
      <c r="F373" s="576"/>
      <c r="G373" s="68">
        <f>G371</f>
        <v>30000</v>
      </c>
      <c r="I373" s="6"/>
    </row>
    <row r="374" spans="2:7" ht="15.75" customHeight="1" hidden="1">
      <c r="B374" s="582" t="s">
        <v>280</v>
      </c>
      <c r="C374" s="582"/>
      <c r="D374" s="582"/>
      <c r="E374" s="582"/>
      <c r="F374" s="582"/>
      <c r="G374" s="582"/>
    </row>
    <row r="375" spans="2:7" ht="15.75" customHeight="1" hidden="1">
      <c r="B375" s="163"/>
      <c r="C375" s="163"/>
      <c r="D375" s="164"/>
      <c r="E375" s="163"/>
      <c r="F375" s="163"/>
      <c r="G375" s="163"/>
    </row>
    <row r="376" spans="2:7" ht="30" customHeight="1" hidden="1">
      <c r="B376" s="50" t="s">
        <v>33</v>
      </c>
      <c r="C376" s="533" t="s">
        <v>40</v>
      </c>
      <c r="D376" s="535"/>
      <c r="E376" s="50" t="s">
        <v>50</v>
      </c>
      <c r="F376" s="50" t="s">
        <v>51</v>
      </c>
      <c r="G376" s="50" t="s">
        <v>47</v>
      </c>
    </row>
    <row r="377" spans="2:7" ht="15.75" customHeight="1" hidden="1">
      <c r="B377" s="194">
        <v>1</v>
      </c>
      <c r="C377" s="580">
        <v>2</v>
      </c>
      <c r="D377" s="583"/>
      <c r="E377" s="193">
        <v>3</v>
      </c>
      <c r="F377" s="193">
        <v>4</v>
      </c>
      <c r="G377" s="30">
        <v>5</v>
      </c>
    </row>
    <row r="378" spans="2:7" ht="15.75" customHeight="1" hidden="1">
      <c r="B378" s="194"/>
      <c r="C378" s="580"/>
      <c r="D378" s="583"/>
      <c r="E378" s="193"/>
      <c r="F378" s="193"/>
      <c r="G378" s="30"/>
    </row>
    <row r="379" spans="2:7" ht="15.75" customHeight="1" hidden="1">
      <c r="B379" s="574" t="s">
        <v>232</v>
      </c>
      <c r="C379" s="575"/>
      <c r="D379" s="575"/>
      <c r="E379" s="575"/>
      <c r="F379" s="576"/>
      <c r="G379" s="68">
        <v>0</v>
      </c>
    </row>
    <row r="380" ht="15.75" customHeight="1" hidden="1"/>
    <row r="381" spans="2:7" ht="15.75" customHeight="1" hidden="1">
      <c r="B381" s="582" t="s">
        <v>281</v>
      </c>
      <c r="C381" s="582"/>
      <c r="D381" s="582"/>
      <c r="E381" s="582"/>
      <c r="F381" s="582"/>
      <c r="G381" s="582"/>
    </row>
    <row r="382" spans="2:7" ht="15.75" customHeight="1" hidden="1">
      <c r="B382" s="163"/>
      <c r="C382" s="163"/>
      <c r="D382" s="164"/>
      <c r="E382" s="163"/>
      <c r="F382" s="163"/>
      <c r="G382" s="163"/>
    </row>
    <row r="383" spans="1:7" ht="30" customHeight="1" hidden="1">
      <c r="A383" s="6"/>
      <c r="B383" s="50" t="s">
        <v>33</v>
      </c>
      <c r="C383" s="533" t="s">
        <v>40</v>
      </c>
      <c r="D383" s="535"/>
      <c r="E383" s="50" t="s">
        <v>54</v>
      </c>
      <c r="F383" s="50" t="s">
        <v>55</v>
      </c>
      <c r="G383" s="50" t="s">
        <v>47</v>
      </c>
    </row>
    <row r="384" spans="1:7" ht="15.75" customHeight="1" hidden="1">
      <c r="A384" s="6"/>
      <c r="B384" s="194">
        <v>1</v>
      </c>
      <c r="C384" s="580">
        <v>2</v>
      </c>
      <c r="D384" s="583"/>
      <c r="E384" s="193">
        <v>3</v>
      </c>
      <c r="F384" s="193">
        <v>4</v>
      </c>
      <c r="G384" s="30">
        <v>5</v>
      </c>
    </row>
    <row r="385" spans="1:7" ht="15.75" customHeight="1" hidden="1">
      <c r="A385" s="6"/>
      <c r="B385" s="50"/>
      <c r="C385" s="571"/>
      <c r="D385" s="573"/>
      <c r="E385" s="173"/>
      <c r="F385" s="179"/>
      <c r="G385" s="123"/>
    </row>
    <row r="386" spans="1:7" ht="15.75" customHeight="1" hidden="1">
      <c r="A386" s="6"/>
      <c r="B386" s="574" t="s">
        <v>58</v>
      </c>
      <c r="C386" s="575"/>
      <c r="D386" s="575"/>
      <c r="E386" s="575"/>
      <c r="F386" s="576"/>
      <c r="G386" s="68">
        <f>G385</f>
        <v>0</v>
      </c>
    </row>
    <row r="387" ht="15.75" customHeight="1" hidden="1">
      <c r="A387" s="6"/>
    </row>
    <row r="388" spans="1:7" ht="15.75" customHeight="1" hidden="1">
      <c r="A388" s="6"/>
      <c r="B388" s="626" t="s">
        <v>282</v>
      </c>
      <c r="C388" s="626"/>
      <c r="D388" s="626"/>
      <c r="E388" s="626"/>
      <c r="F388" s="626"/>
      <c r="G388" s="626"/>
    </row>
    <row r="389" spans="1:8" ht="15.75" customHeight="1">
      <c r="A389" s="6"/>
      <c r="B389" s="196"/>
      <c r="C389" s="196"/>
      <c r="D389" s="196"/>
      <c r="E389" s="196"/>
      <c r="F389" s="196"/>
      <c r="G389" s="196"/>
      <c r="H389" s="266" t="str">
        <f>'Пр.1Титульный лист'!L15</f>
        <v>22.12.2023</v>
      </c>
    </row>
    <row r="390" spans="1:8" ht="15">
      <c r="A390" s="6"/>
      <c r="B390" s="577" t="s">
        <v>712</v>
      </c>
      <c r="C390" s="577"/>
      <c r="D390" s="577"/>
      <c r="E390" s="577"/>
      <c r="F390" s="577"/>
      <c r="G390" s="577"/>
      <c r="H390" s="577"/>
    </row>
    <row r="391" spans="1:8" ht="15">
      <c r="A391" s="6"/>
      <c r="B391" s="577" t="s">
        <v>13</v>
      </c>
      <c r="C391" s="577"/>
      <c r="D391" s="577"/>
      <c r="E391" s="577"/>
      <c r="F391" s="577"/>
      <c r="G391" s="577"/>
      <c r="H391" s="577"/>
    </row>
    <row r="392" spans="1:8" ht="15">
      <c r="A392" s="6"/>
      <c r="B392" s="591" t="s">
        <v>974</v>
      </c>
      <c r="C392" s="577"/>
      <c r="D392" s="577"/>
      <c r="E392" s="577"/>
      <c r="F392" s="577"/>
      <c r="G392" s="577"/>
      <c r="H392" s="577"/>
    </row>
    <row r="393" spans="1:8" ht="15">
      <c r="A393" s="6"/>
      <c r="B393" s="594" t="s">
        <v>602</v>
      </c>
      <c r="C393" s="594"/>
      <c r="D393" s="594"/>
      <c r="E393" s="594"/>
      <c r="F393" s="594"/>
      <c r="G393" s="594"/>
      <c r="H393" s="594"/>
    </row>
    <row r="394" spans="1:8" ht="15">
      <c r="A394" s="6"/>
      <c r="B394" s="577" t="s">
        <v>259</v>
      </c>
      <c r="C394" s="577"/>
      <c r="D394" s="577"/>
      <c r="E394" s="577"/>
      <c r="F394" s="577"/>
      <c r="G394" s="577"/>
      <c r="H394" s="577"/>
    </row>
    <row r="395" spans="1:8" ht="15">
      <c r="A395" s="6"/>
      <c r="B395" s="595" t="s">
        <v>219</v>
      </c>
      <c r="C395" s="595"/>
      <c r="D395" s="595"/>
      <c r="E395" s="595"/>
      <c r="F395" s="595"/>
      <c r="G395" s="595"/>
      <c r="H395" s="595"/>
    </row>
    <row r="396" spans="1:8" ht="15">
      <c r="A396" s="6"/>
      <c r="B396" s="577" t="s">
        <v>439</v>
      </c>
      <c r="C396" s="577"/>
      <c r="D396" s="577"/>
      <c r="E396" s="577"/>
      <c r="F396" s="577"/>
      <c r="G396" s="577"/>
      <c r="H396" s="577"/>
    </row>
    <row r="397" spans="1:8" ht="15">
      <c r="A397" s="6"/>
      <c r="B397" s="592" t="s">
        <v>324</v>
      </c>
      <c r="C397" s="593"/>
      <c r="D397" s="592" t="s">
        <v>19</v>
      </c>
      <c r="E397" s="593"/>
      <c r="F397" s="592" t="s">
        <v>325</v>
      </c>
      <c r="G397" s="593"/>
      <c r="H397" s="596" t="s">
        <v>326</v>
      </c>
    </row>
    <row r="398" spans="1:8" ht="15">
      <c r="A398" s="6"/>
      <c r="B398" s="152" t="s">
        <v>16</v>
      </c>
      <c r="C398" s="152" t="s">
        <v>17</v>
      </c>
      <c r="D398" s="152" t="s">
        <v>16</v>
      </c>
      <c r="E398" s="152" t="s">
        <v>17</v>
      </c>
      <c r="F398" s="152" t="s">
        <v>16</v>
      </c>
      <c r="G398" s="152" t="s">
        <v>17</v>
      </c>
      <c r="H398" s="597"/>
    </row>
    <row r="399" spans="2:8" ht="15">
      <c r="B399" s="152">
        <v>1</v>
      </c>
      <c r="C399" s="152">
        <v>2</v>
      </c>
      <c r="D399" s="152">
        <v>3</v>
      </c>
      <c r="E399" s="152">
        <v>4</v>
      </c>
      <c r="F399" s="152">
        <v>5</v>
      </c>
      <c r="G399" s="152">
        <v>6</v>
      </c>
      <c r="H399" s="153">
        <v>7</v>
      </c>
    </row>
    <row r="400" spans="2:8" ht="15">
      <c r="B400" s="257">
        <v>2431458.04</v>
      </c>
      <c r="C400" s="257">
        <f>H400</f>
        <v>41837173.58</v>
      </c>
      <c r="D400" s="258">
        <f>H400/12</f>
        <v>3486431.1316666664</v>
      </c>
      <c r="E400" s="258">
        <f>H400</f>
        <v>41837173.58</v>
      </c>
      <c r="F400" s="258">
        <v>2431458.04</v>
      </c>
      <c r="G400" s="258">
        <f>H400</f>
        <v>41837173.58</v>
      </c>
      <c r="H400" s="259">
        <v>41837173.58</v>
      </c>
    </row>
    <row r="401" spans="2:8" ht="15">
      <c r="B401" s="598" t="s">
        <v>233</v>
      </c>
      <c r="C401" s="599"/>
      <c r="D401" s="599"/>
      <c r="E401" s="599"/>
      <c r="F401" s="599"/>
      <c r="G401" s="600"/>
      <c r="H401" s="157">
        <f>H400</f>
        <v>41837173.58</v>
      </c>
    </row>
    <row r="402" spans="1:8" s="332" customFormat="1" ht="27.75" customHeight="1">
      <c r="A402" s="331"/>
      <c r="B402" s="629" t="s">
        <v>970</v>
      </c>
      <c r="C402" s="630"/>
      <c r="D402" s="630"/>
      <c r="E402" s="630"/>
      <c r="F402" s="630"/>
      <c r="G402" s="630"/>
      <c r="H402" s="630"/>
    </row>
    <row r="403" spans="1:8" s="332" customFormat="1" ht="12.75">
      <c r="A403" s="331"/>
      <c r="B403" s="631" t="s">
        <v>964</v>
      </c>
      <c r="C403" s="632"/>
      <c r="D403" s="632"/>
      <c r="E403" s="632"/>
      <c r="F403" s="632"/>
      <c r="G403" s="632"/>
      <c r="H403" s="632"/>
    </row>
    <row r="404" spans="1:8" ht="16.5" customHeight="1" hidden="1">
      <c r="A404" s="147"/>
      <c r="B404" s="582" t="s">
        <v>260</v>
      </c>
      <c r="C404" s="582"/>
      <c r="D404" s="582"/>
      <c r="E404" s="582"/>
      <c r="F404" s="582"/>
      <c r="G404" s="582"/>
      <c r="H404" s="163"/>
    </row>
    <row r="405" spans="1:8" ht="15" hidden="1">
      <c r="A405" s="147"/>
      <c r="B405" s="163"/>
      <c r="C405" s="163"/>
      <c r="D405" s="164"/>
      <c r="E405" s="163"/>
      <c r="F405" s="163"/>
      <c r="G405" s="163"/>
      <c r="H405" s="163"/>
    </row>
    <row r="406" spans="1:8" ht="30.75" hidden="1">
      <c r="A406" s="147"/>
      <c r="B406" s="50" t="s">
        <v>33</v>
      </c>
      <c r="C406" s="533" t="s">
        <v>40</v>
      </c>
      <c r="D406" s="535"/>
      <c r="E406" s="50" t="s">
        <v>45</v>
      </c>
      <c r="F406" s="50" t="s">
        <v>46</v>
      </c>
      <c r="G406" s="50" t="s">
        <v>47</v>
      </c>
      <c r="H406" s="163"/>
    </row>
    <row r="407" spans="1:8" ht="15" hidden="1">
      <c r="A407" s="147"/>
      <c r="B407" s="50">
        <v>1</v>
      </c>
      <c r="C407" s="533">
        <v>2</v>
      </c>
      <c r="D407" s="535"/>
      <c r="E407" s="50">
        <v>2</v>
      </c>
      <c r="F407" s="50">
        <v>4</v>
      </c>
      <c r="G407" s="50">
        <v>5</v>
      </c>
      <c r="H407" s="163"/>
    </row>
    <row r="408" spans="1:8" ht="15" hidden="1">
      <c r="A408" s="147"/>
      <c r="B408" s="50">
        <v>1</v>
      </c>
      <c r="C408" s="609" t="s">
        <v>327</v>
      </c>
      <c r="D408" s="611"/>
      <c r="E408" s="256">
        <v>100</v>
      </c>
      <c r="F408" s="268">
        <f>G408/E408</f>
        <v>0</v>
      </c>
      <c r="G408" s="255">
        <v>0</v>
      </c>
      <c r="H408" s="163"/>
    </row>
    <row r="409" spans="1:8" ht="15" hidden="1">
      <c r="A409" s="147"/>
      <c r="B409" s="50"/>
      <c r="C409" s="609"/>
      <c r="D409" s="611"/>
      <c r="E409" s="50"/>
      <c r="F409" s="169"/>
      <c r="G409" s="123"/>
      <c r="H409" s="163"/>
    </row>
    <row r="410" spans="1:8" ht="15" hidden="1">
      <c r="A410" s="147"/>
      <c r="B410" s="585" t="s">
        <v>222</v>
      </c>
      <c r="C410" s="586"/>
      <c r="D410" s="587"/>
      <c r="E410" s="50" t="s">
        <v>35</v>
      </c>
      <c r="F410" s="170" t="s">
        <v>35</v>
      </c>
      <c r="G410" s="122">
        <f>SUM(G408:G409)</f>
        <v>0</v>
      </c>
      <c r="H410" s="163"/>
    </row>
    <row r="411" spans="2:8" ht="15" hidden="1">
      <c r="B411" s="185"/>
      <c r="C411" s="185"/>
      <c r="D411" s="185"/>
      <c r="E411" s="185"/>
      <c r="F411" s="185"/>
      <c r="G411" s="185"/>
      <c r="H411" s="186"/>
    </row>
    <row r="412" spans="2:8" ht="39" customHeight="1">
      <c r="B412" s="577" t="s">
        <v>559</v>
      </c>
      <c r="C412" s="577"/>
      <c r="D412" s="577"/>
      <c r="E412" s="577"/>
      <c r="F412" s="577"/>
      <c r="G412" s="577"/>
      <c r="H412" s="577"/>
    </row>
    <row r="413" spans="2:7" ht="36">
      <c r="B413" s="50" t="s">
        <v>33</v>
      </c>
      <c r="C413" s="533" t="s">
        <v>21</v>
      </c>
      <c r="D413" s="534"/>
      <c r="E413" s="535"/>
      <c r="F413" s="330" t="s">
        <v>22</v>
      </c>
      <c r="G413" s="50" t="s">
        <v>23</v>
      </c>
    </row>
    <row r="414" spans="2:7" ht="15">
      <c r="B414" s="118">
        <v>1</v>
      </c>
      <c r="C414" s="605">
        <v>2</v>
      </c>
      <c r="D414" s="606"/>
      <c r="E414" s="607"/>
      <c r="F414" s="118">
        <v>3</v>
      </c>
      <c r="G414" s="118">
        <v>4</v>
      </c>
    </row>
    <row r="415" spans="1:8" ht="37.5" customHeight="1">
      <c r="A415" s="6"/>
      <c r="B415" s="118">
        <v>1</v>
      </c>
      <c r="C415" s="609" t="s">
        <v>34</v>
      </c>
      <c r="D415" s="610"/>
      <c r="E415" s="611"/>
      <c r="F415" s="118" t="s">
        <v>35</v>
      </c>
      <c r="G415" s="324">
        <f>SUM(G416:G418)</f>
        <v>9204179</v>
      </c>
      <c r="H415" s="6"/>
    </row>
    <row r="416" spans="1:8" ht="15">
      <c r="A416" s="6"/>
      <c r="B416" s="118" t="s">
        <v>24</v>
      </c>
      <c r="C416" s="609" t="s">
        <v>36</v>
      </c>
      <c r="D416" s="610"/>
      <c r="E416" s="611"/>
      <c r="F416" s="159">
        <f>H400</f>
        <v>41837173.58</v>
      </c>
      <c r="G416" s="324">
        <f>ROUNDUP(F416*22%,0)</f>
        <v>9204179</v>
      </c>
      <c r="H416" s="6"/>
    </row>
    <row r="417" spans="1:8" ht="15" hidden="1">
      <c r="A417" s="6"/>
      <c r="B417" s="160" t="s">
        <v>25</v>
      </c>
      <c r="C417" s="609" t="s">
        <v>37</v>
      </c>
      <c r="D417" s="610"/>
      <c r="E417" s="611"/>
      <c r="F417" s="159"/>
      <c r="G417" s="324"/>
      <c r="H417" s="6"/>
    </row>
    <row r="418" spans="1:8" ht="48.75" customHeight="1" hidden="1">
      <c r="A418" s="6"/>
      <c r="B418" s="118" t="s">
        <v>26</v>
      </c>
      <c r="C418" s="609" t="s">
        <v>77</v>
      </c>
      <c r="D418" s="610"/>
      <c r="E418" s="611"/>
      <c r="F418" s="159"/>
      <c r="G418" s="324"/>
      <c r="H418" s="6"/>
    </row>
    <row r="419" spans="1:8" ht="36.75" customHeight="1">
      <c r="A419" s="6"/>
      <c r="B419" s="118">
        <v>2</v>
      </c>
      <c r="C419" s="609" t="s">
        <v>27</v>
      </c>
      <c r="D419" s="610"/>
      <c r="E419" s="611"/>
      <c r="F419" s="118" t="s">
        <v>35</v>
      </c>
      <c r="G419" s="324">
        <f>SUM(G420:G424)</f>
        <v>1296952.42</v>
      </c>
      <c r="H419" s="6"/>
    </row>
    <row r="420" spans="1:8" ht="40.5" customHeight="1">
      <c r="A420" s="6"/>
      <c r="B420" s="118" t="s">
        <v>28</v>
      </c>
      <c r="C420" s="609" t="s">
        <v>78</v>
      </c>
      <c r="D420" s="610"/>
      <c r="E420" s="611"/>
      <c r="F420" s="159">
        <f>F416</f>
        <v>41837173.58</v>
      </c>
      <c r="G420" s="324">
        <f>ROUNDDOWN(F420*2.9%,)-0.58</f>
        <v>1213277.42</v>
      </c>
      <c r="H420" s="6"/>
    </row>
    <row r="421" spans="1:8" ht="38.25" customHeight="1" hidden="1">
      <c r="A421" s="6"/>
      <c r="B421" s="118" t="s">
        <v>29</v>
      </c>
      <c r="C421" s="609" t="s">
        <v>79</v>
      </c>
      <c r="D421" s="610"/>
      <c r="E421" s="611"/>
      <c r="F421" s="159"/>
      <c r="G421" s="324"/>
      <c r="H421" s="6"/>
    </row>
    <row r="422" spans="1:8" ht="51.75" customHeight="1">
      <c r="A422" s="6"/>
      <c r="B422" s="118" t="s">
        <v>29</v>
      </c>
      <c r="C422" s="609" t="s">
        <v>76</v>
      </c>
      <c r="D422" s="610"/>
      <c r="E422" s="611"/>
      <c r="F422" s="159">
        <f>F420</f>
        <v>41837173.58</v>
      </c>
      <c r="G422" s="324">
        <f>ROUNDUP(F422*0.2%,0)</f>
        <v>83675</v>
      </c>
      <c r="H422" s="6"/>
    </row>
    <row r="423" spans="1:8" ht="48" customHeight="1" hidden="1">
      <c r="A423" s="6"/>
      <c r="B423" s="118" t="s">
        <v>31</v>
      </c>
      <c r="C423" s="609" t="s">
        <v>80</v>
      </c>
      <c r="D423" s="610"/>
      <c r="E423" s="611"/>
      <c r="F423" s="159"/>
      <c r="G423" s="324"/>
      <c r="H423" s="6"/>
    </row>
    <row r="424" spans="1:8" ht="51" customHeight="1" hidden="1">
      <c r="A424" s="6"/>
      <c r="B424" s="118" t="s">
        <v>32</v>
      </c>
      <c r="C424" s="609" t="s">
        <v>80</v>
      </c>
      <c r="D424" s="610"/>
      <c r="E424" s="611"/>
      <c r="F424" s="159"/>
      <c r="G424" s="324"/>
      <c r="H424" s="6"/>
    </row>
    <row r="425" spans="1:8" ht="42" customHeight="1">
      <c r="A425" s="6"/>
      <c r="B425" s="118" t="s">
        <v>38</v>
      </c>
      <c r="C425" s="609" t="s">
        <v>39</v>
      </c>
      <c r="D425" s="610"/>
      <c r="E425" s="611"/>
      <c r="F425" s="159">
        <f>F422</f>
        <v>41837173.58</v>
      </c>
      <c r="G425" s="324">
        <f>ROUNDDOWN(F425*5.1%,0)</f>
        <v>2133695</v>
      </c>
      <c r="H425" s="6"/>
    </row>
    <row r="426" spans="1:8" ht="15">
      <c r="A426" s="6"/>
      <c r="B426" s="574" t="s">
        <v>72</v>
      </c>
      <c r="C426" s="575"/>
      <c r="D426" s="575"/>
      <c r="E426" s="576"/>
      <c r="F426" s="118" t="s">
        <v>35</v>
      </c>
      <c r="G426" s="180">
        <f>G415+G419+G425</f>
        <v>12634826.42</v>
      </c>
      <c r="H426" s="6"/>
    </row>
    <row r="427" spans="1:8" ht="15" hidden="1">
      <c r="A427" s="6"/>
      <c r="B427" s="559" t="s">
        <v>263</v>
      </c>
      <c r="C427" s="559"/>
      <c r="D427" s="559"/>
      <c r="E427" s="559"/>
      <c r="F427" s="559"/>
      <c r="G427" s="559"/>
      <c r="H427" s="6"/>
    </row>
    <row r="428" spans="1:8" ht="15" hidden="1">
      <c r="A428" s="6"/>
      <c r="B428" s="163"/>
      <c r="C428" s="163"/>
      <c r="D428" s="163"/>
      <c r="E428" s="163"/>
      <c r="F428" s="163"/>
      <c r="G428" s="164"/>
      <c r="H428" s="6"/>
    </row>
    <row r="429" spans="1:8" ht="15" hidden="1">
      <c r="A429" s="6"/>
      <c r="B429" s="608" t="s">
        <v>220</v>
      </c>
      <c r="C429" s="608"/>
      <c r="D429" s="608"/>
      <c r="E429" s="608"/>
      <c r="F429" s="608"/>
      <c r="G429" s="608"/>
      <c r="H429" s="6"/>
    </row>
    <row r="430" spans="1:8" ht="15" hidden="1">
      <c r="A430" s="6"/>
      <c r="B430" s="163"/>
      <c r="C430" s="165"/>
      <c r="D430" s="163"/>
      <c r="E430" s="163"/>
      <c r="F430" s="163"/>
      <c r="G430" s="163"/>
      <c r="H430" s="6"/>
    </row>
    <row r="431" spans="2:7" ht="78" hidden="1">
      <c r="B431" s="50" t="s">
        <v>33</v>
      </c>
      <c r="C431" s="530" t="s">
        <v>40</v>
      </c>
      <c r="D431" s="530"/>
      <c r="E431" s="50" t="s">
        <v>41</v>
      </c>
      <c r="F431" s="50" t="s">
        <v>42</v>
      </c>
      <c r="G431" s="50" t="s">
        <v>43</v>
      </c>
    </row>
    <row r="432" spans="2:7" ht="15" hidden="1">
      <c r="B432" s="50">
        <v>1</v>
      </c>
      <c r="C432" s="530">
        <v>2</v>
      </c>
      <c r="D432" s="530"/>
      <c r="E432" s="50">
        <v>3</v>
      </c>
      <c r="F432" s="50">
        <v>4</v>
      </c>
      <c r="G432" s="50">
        <v>5</v>
      </c>
    </row>
    <row r="433" spans="2:7" ht="15" hidden="1">
      <c r="B433" s="50"/>
      <c r="C433" s="609"/>
      <c r="D433" s="611"/>
      <c r="E433" s="216"/>
      <c r="F433" s="216"/>
      <c r="G433" s="123">
        <v>0</v>
      </c>
    </row>
    <row r="434" spans="2:7" ht="15" hidden="1">
      <c r="B434" s="50"/>
      <c r="C434" s="567"/>
      <c r="D434" s="567"/>
      <c r="E434" s="216"/>
      <c r="F434" s="216"/>
      <c r="G434" s="123">
        <v>0</v>
      </c>
    </row>
    <row r="435" spans="1:8" ht="15" hidden="1">
      <c r="A435" s="166"/>
      <c r="B435" s="585" t="s">
        <v>223</v>
      </c>
      <c r="C435" s="586"/>
      <c r="D435" s="587"/>
      <c r="E435" s="25"/>
      <c r="F435" s="122"/>
      <c r="G435" s="167">
        <f>SUM(G433:G434)</f>
        <v>0</v>
      </c>
      <c r="H435" s="166"/>
    </row>
    <row r="436" ht="15" hidden="1"/>
    <row r="437" spans="2:8" ht="15" hidden="1">
      <c r="B437" s="559" t="s">
        <v>264</v>
      </c>
      <c r="C437" s="559"/>
      <c r="D437" s="559"/>
      <c r="E437" s="559"/>
      <c r="F437" s="559"/>
      <c r="G437" s="559"/>
      <c r="H437" s="168"/>
    </row>
    <row r="438" spans="2:8" ht="15" hidden="1">
      <c r="B438" s="162"/>
      <c r="C438" s="162"/>
      <c r="D438" s="162"/>
      <c r="E438" s="162"/>
      <c r="F438" s="162"/>
      <c r="G438" s="162"/>
      <c r="H438" s="168"/>
    </row>
    <row r="439" spans="2:8" ht="15" hidden="1">
      <c r="B439" s="608" t="s">
        <v>221</v>
      </c>
      <c r="C439" s="608"/>
      <c r="D439" s="608"/>
      <c r="E439" s="608"/>
      <c r="F439" s="608"/>
      <c r="G439" s="608"/>
      <c r="H439" s="168"/>
    </row>
    <row r="440" spans="1:8" ht="15" hidden="1">
      <c r="A440" s="147"/>
      <c r="B440" s="559" t="s">
        <v>265</v>
      </c>
      <c r="C440" s="559"/>
      <c r="D440" s="559"/>
      <c r="E440" s="559"/>
      <c r="F440" s="559"/>
      <c r="G440" s="559"/>
      <c r="H440" s="163"/>
    </row>
    <row r="441" spans="1:8" ht="15" hidden="1">
      <c r="A441" s="147"/>
      <c r="B441" s="163"/>
      <c r="C441" s="163"/>
      <c r="D441" s="164"/>
      <c r="E441" s="163"/>
      <c r="F441" s="163"/>
      <c r="G441" s="163"/>
      <c r="H441" s="163"/>
    </row>
    <row r="442" spans="1:8" ht="30.75" hidden="1">
      <c r="A442" s="147"/>
      <c r="B442" s="50" t="s">
        <v>33</v>
      </c>
      <c r="C442" s="50" t="s">
        <v>40</v>
      </c>
      <c r="D442" s="50" t="s">
        <v>44</v>
      </c>
      <c r="E442" s="50" t="s">
        <v>45</v>
      </c>
      <c r="F442" s="50" t="s">
        <v>46</v>
      </c>
      <c r="G442" s="50" t="s">
        <v>47</v>
      </c>
      <c r="H442" s="163"/>
    </row>
    <row r="443" spans="1:8" ht="15" hidden="1">
      <c r="A443" s="147"/>
      <c r="B443" s="50">
        <v>1</v>
      </c>
      <c r="C443" s="50">
        <v>2</v>
      </c>
      <c r="D443" s="50">
        <v>3</v>
      </c>
      <c r="E443" s="50">
        <v>4</v>
      </c>
      <c r="F443" s="50">
        <v>5</v>
      </c>
      <c r="G443" s="50">
        <v>6</v>
      </c>
      <c r="H443" s="163"/>
    </row>
    <row r="444" spans="1:8" ht="15" hidden="1">
      <c r="A444" s="147"/>
      <c r="B444" s="50"/>
      <c r="C444" s="36"/>
      <c r="D444" s="50"/>
      <c r="E444" s="50"/>
      <c r="F444" s="170"/>
      <c r="G444" s="170"/>
      <c r="H444" s="163"/>
    </row>
    <row r="445" spans="1:8" ht="15" hidden="1">
      <c r="A445" s="147"/>
      <c r="B445" s="585" t="s">
        <v>70</v>
      </c>
      <c r="C445" s="586"/>
      <c r="D445" s="586"/>
      <c r="E445" s="586"/>
      <c r="F445" s="587"/>
      <c r="G445" s="122">
        <f>SUM(G444:G444)</f>
        <v>0</v>
      </c>
      <c r="H445" s="163"/>
    </row>
    <row r="446" spans="1:8" ht="15" hidden="1">
      <c r="A446" s="147"/>
      <c r="B446" s="171"/>
      <c r="C446" s="171"/>
      <c r="D446" s="171"/>
      <c r="E446" s="171"/>
      <c r="F446" s="171"/>
      <c r="G446" s="178"/>
      <c r="H446" s="163"/>
    </row>
    <row r="447" spans="1:8" ht="15" hidden="1">
      <c r="A447" s="147"/>
      <c r="B447" s="559" t="s">
        <v>266</v>
      </c>
      <c r="C447" s="559"/>
      <c r="D447" s="559"/>
      <c r="E447" s="559"/>
      <c r="F447" s="559"/>
      <c r="G447" s="559"/>
      <c r="H447" s="163"/>
    </row>
    <row r="448" spans="1:8" ht="15" hidden="1">
      <c r="A448" s="147"/>
      <c r="B448" s="163"/>
      <c r="C448" s="163"/>
      <c r="D448" s="164"/>
      <c r="E448" s="163"/>
      <c r="F448" s="163"/>
      <c r="G448" s="163"/>
      <c r="H448" s="163"/>
    </row>
    <row r="449" spans="1:8" ht="30.75" hidden="1">
      <c r="A449" s="147"/>
      <c r="B449" s="50" t="s">
        <v>33</v>
      </c>
      <c r="C449" s="50" t="s">
        <v>40</v>
      </c>
      <c r="D449" s="50" t="s">
        <v>283</v>
      </c>
      <c r="E449" s="533" t="s">
        <v>284</v>
      </c>
      <c r="F449" s="535"/>
      <c r="G449" s="50" t="s">
        <v>47</v>
      </c>
      <c r="H449" s="163"/>
    </row>
    <row r="450" spans="1:8" ht="15" hidden="1">
      <c r="A450" s="147"/>
      <c r="B450" s="50">
        <v>1</v>
      </c>
      <c r="C450" s="50">
        <v>2</v>
      </c>
      <c r="D450" s="50">
        <v>3</v>
      </c>
      <c r="E450" s="533">
        <v>4</v>
      </c>
      <c r="F450" s="535"/>
      <c r="G450" s="50">
        <v>5</v>
      </c>
      <c r="H450" s="163"/>
    </row>
    <row r="451" spans="1:8" ht="15" hidden="1">
      <c r="A451" s="147"/>
      <c r="B451" s="50"/>
      <c r="C451" s="50"/>
      <c r="D451" s="50"/>
      <c r="E451" s="533"/>
      <c r="F451" s="535"/>
      <c r="G451" s="50"/>
      <c r="H451" s="163"/>
    </row>
    <row r="452" spans="1:8" ht="15" hidden="1">
      <c r="A452" s="147"/>
      <c r="B452" s="50"/>
      <c r="C452" s="36"/>
      <c r="D452" s="50"/>
      <c r="E452" s="533"/>
      <c r="F452" s="535"/>
      <c r="G452" s="123"/>
      <c r="H452" s="163"/>
    </row>
    <row r="453" spans="1:8" ht="15" hidden="1">
      <c r="A453" s="147"/>
      <c r="B453" s="585" t="s">
        <v>226</v>
      </c>
      <c r="C453" s="586"/>
      <c r="D453" s="586"/>
      <c r="E453" s="586"/>
      <c r="F453" s="587"/>
      <c r="G453" s="122">
        <f>SUM(G452:G452)</f>
        <v>0</v>
      </c>
      <c r="H453" s="163"/>
    </row>
    <row r="454" spans="1:8" ht="15" hidden="1">
      <c r="A454" s="147"/>
      <c r="B454" s="171"/>
      <c r="C454" s="171"/>
      <c r="D454" s="171"/>
      <c r="E454" s="171"/>
      <c r="F454" s="171"/>
      <c r="G454" s="171"/>
      <c r="H454" s="163"/>
    </row>
    <row r="455" spans="1:8" ht="15" hidden="1">
      <c r="A455" s="147"/>
      <c r="B455" s="621" t="s">
        <v>267</v>
      </c>
      <c r="C455" s="621"/>
      <c r="D455" s="621"/>
      <c r="E455" s="621"/>
      <c r="F455" s="621"/>
      <c r="G455" s="621"/>
      <c r="H455" s="163"/>
    </row>
    <row r="456" spans="1:8" ht="15" hidden="1">
      <c r="A456" s="147"/>
      <c r="B456" s="163"/>
      <c r="C456" s="163"/>
      <c r="D456" s="164"/>
      <c r="E456" s="163"/>
      <c r="F456" s="163"/>
      <c r="G456" s="163"/>
      <c r="H456" s="163"/>
    </row>
    <row r="457" spans="1:8" ht="46.5" hidden="1">
      <c r="A457" s="147"/>
      <c r="B457" s="50" t="s">
        <v>33</v>
      </c>
      <c r="C457" s="50" t="s">
        <v>40</v>
      </c>
      <c r="D457" s="50" t="s">
        <v>84</v>
      </c>
      <c r="E457" s="50" t="s">
        <v>48</v>
      </c>
      <c r="F457" s="50" t="s">
        <v>49</v>
      </c>
      <c r="G457" s="50" t="s">
        <v>47</v>
      </c>
      <c r="H457" s="163"/>
    </row>
    <row r="458" spans="1:8" ht="15" hidden="1">
      <c r="A458" s="147"/>
      <c r="B458" s="50">
        <v>1</v>
      </c>
      <c r="C458" s="50">
        <v>2</v>
      </c>
      <c r="D458" s="50">
        <v>3</v>
      </c>
      <c r="E458" s="50">
        <v>4</v>
      </c>
      <c r="F458" s="50">
        <v>5</v>
      </c>
      <c r="G458" s="50">
        <v>6</v>
      </c>
      <c r="H458" s="163"/>
    </row>
    <row r="459" spans="1:8" ht="15" hidden="1">
      <c r="A459" s="147"/>
      <c r="B459" s="50"/>
      <c r="C459" s="217"/>
      <c r="D459" s="170"/>
      <c r="E459" s="50"/>
      <c r="F459" s="50"/>
      <c r="G459" s="170"/>
      <c r="H459" s="163"/>
    </row>
    <row r="460" spans="1:8" ht="15" hidden="1">
      <c r="A460" s="172"/>
      <c r="B460" s="585" t="s">
        <v>73</v>
      </c>
      <c r="C460" s="586"/>
      <c r="D460" s="586"/>
      <c r="E460" s="586"/>
      <c r="F460" s="587"/>
      <c r="G460" s="122">
        <f>SUM(G459:G459)</f>
        <v>0</v>
      </c>
      <c r="H460" s="22"/>
    </row>
    <row r="461" spans="1:8" ht="15" hidden="1">
      <c r="A461" s="172"/>
      <c r="B461" s="171"/>
      <c r="C461" s="171"/>
      <c r="D461" s="171"/>
      <c r="E461" s="171"/>
      <c r="F461" s="171"/>
      <c r="G461" s="178"/>
      <c r="H461" s="22"/>
    </row>
    <row r="462" spans="1:8" ht="15" hidden="1">
      <c r="A462" s="172"/>
      <c r="B462" s="582" t="s">
        <v>268</v>
      </c>
      <c r="C462" s="582"/>
      <c r="D462" s="582"/>
      <c r="E462" s="582"/>
      <c r="F462" s="582"/>
      <c r="G462" s="582"/>
      <c r="H462" s="22"/>
    </row>
    <row r="463" spans="1:8" ht="15" hidden="1">
      <c r="A463" s="172"/>
      <c r="B463" s="163"/>
      <c r="C463" s="163"/>
      <c r="D463" s="164"/>
      <c r="E463" s="163"/>
      <c r="F463" s="163"/>
      <c r="G463" s="163"/>
      <c r="H463" s="22"/>
    </row>
    <row r="464" spans="1:8" ht="30.75" hidden="1">
      <c r="A464" s="172"/>
      <c r="B464" s="50" t="s">
        <v>33</v>
      </c>
      <c r="C464" s="50" t="s">
        <v>40</v>
      </c>
      <c r="D464" s="50" t="s">
        <v>54</v>
      </c>
      <c r="E464" s="27" t="s">
        <v>285</v>
      </c>
      <c r="F464" s="50" t="s">
        <v>47</v>
      </c>
      <c r="G464" s="8"/>
      <c r="H464" s="22"/>
    </row>
    <row r="465" spans="1:8" ht="15" hidden="1">
      <c r="A465" s="172"/>
      <c r="B465" s="118">
        <v>1</v>
      </c>
      <c r="C465" s="118">
        <v>2</v>
      </c>
      <c r="D465" s="118">
        <v>3</v>
      </c>
      <c r="E465" s="158">
        <v>4</v>
      </c>
      <c r="F465" s="50">
        <v>5</v>
      </c>
      <c r="G465" s="8"/>
      <c r="H465" s="22"/>
    </row>
    <row r="466" spans="1:8" ht="15" hidden="1">
      <c r="A466" s="172"/>
      <c r="B466" s="118"/>
      <c r="C466" s="50"/>
      <c r="D466" s="118"/>
      <c r="E466" s="158"/>
      <c r="F466" s="187"/>
      <c r="G466" s="8"/>
      <c r="H466" s="22"/>
    </row>
    <row r="467" spans="1:8" ht="15" hidden="1">
      <c r="A467" s="147"/>
      <c r="B467" s="574" t="s">
        <v>227</v>
      </c>
      <c r="C467" s="575"/>
      <c r="D467" s="575"/>
      <c r="E467" s="576"/>
      <c r="F467" s="122">
        <f>SUM(F466:F466)</f>
        <v>0</v>
      </c>
      <c r="G467" s="9"/>
      <c r="H467" s="163"/>
    </row>
    <row r="468" spans="1:8" ht="15" hidden="1">
      <c r="A468" s="147"/>
      <c r="B468" s="176"/>
      <c r="C468" s="176"/>
      <c r="D468" s="176"/>
      <c r="E468" s="176"/>
      <c r="F468" s="178"/>
      <c r="G468" s="9"/>
      <c r="H468" s="163"/>
    </row>
    <row r="469" spans="1:8" ht="15">
      <c r="A469" s="147"/>
      <c r="B469" s="582" t="s">
        <v>269</v>
      </c>
      <c r="C469" s="582"/>
      <c r="D469" s="582"/>
      <c r="E469" s="582"/>
      <c r="F469" s="582"/>
      <c r="G469" s="582"/>
      <c r="H469" s="163"/>
    </row>
    <row r="470" spans="1:8" ht="30.75">
      <c r="A470" s="147"/>
      <c r="B470" s="50" t="s">
        <v>33</v>
      </c>
      <c r="C470" s="50" t="s">
        <v>40</v>
      </c>
      <c r="D470" s="50" t="s">
        <v>50</v>
      </c>
      <c r="E470" s="27" t="s">
        <v>51</v>
      </c>
      <c r="F470" s="50" t="s">
        <v>47</v>
      </c>
      <c r="G470" s="8"/>
      <c r="H470" s="163"/>
    </row>
    <row r="471" spans="1:8" ht="15">
      <c r="A471" s="147"/>
      <c r="B471" s="50">
        <v>1</v>
      </c>
      <c r="C471" s="50">
        <v>2</v>
      </c>
      <c r="D471" s="50">
        <v>3</v>
      </c>
      <c r="E471" s="27">
        <v>4</v>
      </c>
      <c r="F471" s="50">
        <v>5</v>
      </c>
      <c r="G471" s="8"/>
      <c r="H471" s="163"/>
    </row>
    <row r="472" spans="1:8" ht="15">
      <c r="A472" s="147"/>
      <c r="B472" s="118">
        <v>1</v>
      </c>
      <c r="C472" s="36" t="s">
        <v>398</v>
      </c>
      <c r="D472" s="118">
        <v>1</v>
      </c>
      <c r="E472" s="158">
        <v>12</v>
      </c>
      <c r="F472" s="123">
        <v>60000</v>
      </c>
      <c r="G472" s="8"/>
      <c r="H472" s="174"/>
    </row>
    <row r="473" spans="1:8" ht="15">
      <c r="A473" s="172"/>
      <c r="B473" s="574" t="s">
        <v>69</v>
      </c>
      <c r="C473" s="575"/>
      <c r="D473" s="575"/>
      <c r="E473" s="576"/>
      <c r="F473" s="122">
        <f>SUM(F472:F472)</f>
        <v>60000</v>
      </c>
      <c r="G473" s="9"/>
      <c r="H473" s="175"/>
    </row>
    <row r="474" spans="1:8" ht="15">
      <c r="A474" s="147"/>
      <c r="B474" s="559" t="s">
        <v>270</v>
      </c>
      <c r="C474" s="559"/>
      <c r="D474" s="559"/>
      <c r="E474" s="559"/>
      <c r="F474" s="559"/>
      <c r="G474" s="559"/>
      <c r="H474" s="163"/>
    </row>
    <row r="475" spans="1:8" ht="30.75">
      <c r="A475" s="147"/>
      <c r="B475" s="50" t="s">
        <v>33</v>
      </c>
      <c r="C475" s="533" t="s">
        <v>40</v>
      </c>
      <c r="D475" s="534"/>
      <c r="E475" s="535"/>
      <c r="F475" s="50" t="s">
        <v>52</v>
      </c>
      <c r="G475" s="50" t="s">
        <v>53</v>
      </c>
      <c r="H475" s="163"/>
    </row>
    <row r="476" spans="1:8" ht="15">
      <c r="A476" s="147"/>
      <c r="B476" s="50">
        <v>1</v>
      </c>
      <c r="C476" s="533">
        <v>2</v>
      </c>
      <c r="D476" s="534"/>
      <c r="E476" s="535"/>
      <c r="F476" s="50">
        <v>3</v>
      </c>
      <c r="G476" s="50">
        <v>4</v>
      </c>
      <c r="H476" s="163"/>
    </row>
    <row r="477" spans="1:8" ht="16.5" customHeight="1">
      <c r="A477" s="147"/>
      <c r="B477" s="118">
        <v>1</v>
      </c>
      <c r="C477" s="571" t="s">
        <v>314</v>
      </c>
      <c r="D477" s="572"/>
      <c r="E477" s="573"/>
      <c r="F477" s="173" t="s">
        <v>313</v>
      </c>
      <c r="G477" s="179">
        <v>40000</v>
      </c>
      <c r="H477" s="174"/>
    </row>
    <row r="478" spans="1:8" ht="15" hidden="1">
      <c r="A478" s="147"/>
      <c r="B478" s="118">
        <v>2</v>
      </c>
      <c r="C478" s="571" t="s">
        <v>399</v>
      </c>
      <c r="D478" s="572"/>
      <c r="E478" s="573"/>
      <c r="F478" s="173" t="s">
        <v>313</v>
      </c>
      <c r="G478" s="179">
        <v>0</v>
      </c>
      <c r="H478" s="174"/>
    </row>
    <row r="479" spans="1:8" ht="15">
      <c r="A479" s="147"/>
      <c r="B479" s="118">
        <v>2</v>
      </c>
      <c r="C479" s="571" t="s">
        <v>400</v>
      </c>
      <c r="D479" s="572"/>
      <c r="E479" s="573"/>
      <c r="F479" s="173" t="s">
        <v>313</v>
      </c>
      <c r="G479" s="179">
        <v>96000</v>
      </c>
      <c r="H479" s="174"/>
    </row>
    <row r="480" spans="1:8" ht="15">
      <c r="A480" s="147"/>
      <c r="B480" s="118">
        <v>3</v>
      </c>
      <c r="C480" s="571" t="s">
        <v>401</v>
      </c>
      <c r="D480" s="572"/>
      <c r="E480" s="573"/>
      <c r="F480" s="173" t="s">
        <v>313</v>
      </c>
      <c r="G480" s="179">
        <v>4317920</v>
      </c>
      <c r="H480" s="174"/>
    </row>
    <row r="481" spans="1:8" ht="15">
      <c r="A481" s="147"/>
      <c r="B481" s="574" t="s">
        <v>71</v>
      </c>
      <c r="C481" s="575"/>
      <c r="D481" s="575"/>
      <c r="E481" s="575"/>
      <c r="F481" s="576"/>
      <c r="G481" s="180">
        <f>SUM(G477:G480)</f>
        <v>4453920</v>
      </c>
      <c r="H481" s="163"/>
    </row>
    <row r="482" spans="1:8" ht="15" hidden="1">
      <c r="A482" s="147"/>
      <c r="B482" s="561" t="s">
        <v>271</v>
      </c>
      <c r="C482" s="561"/>
      <c r="D482" s="561"/>
      <c r="E482" s="561"/>
      <c r="F482" s="561"/>
      <c r="G482" s="561"/>
      <c r="H482" s="163"/>
    </row>
    <row r="483" spans="1:8" ht="15" hidden="1">
      <c r="A483" s="147"/>
      <c r="B483" s="206"/>
      <c r="C483" s="206"/>
      <c r="D483" s="206"/>
      <c r="E483" s="206"/>
      <c r="F483" s="206"/>
      <c r="G483" s="206"/>
      <c r="H483" s="163"/>
    </row>
    <row r="484" spans="1:8" ht="30.75" hidden="1">
      <c r="A484" s="147"/>
      <c r="B484" s="50" t="s">
        <v>33</v>
      </c>
      <c r="C484" s="530" t="s">
        <v>40</v>
      </c>
      <c r="D484" s="530"/>
      <c r="E484" s="50" t="s">
        <v>54</v>
      </c>
      <c r="F484" s="50" t="s">
        <v>55</v>
      </c>
      <c r="G484" s="50" t="s">
        <v>47</v>
      </c>
      <c r="H484" s="163"/>
    </row>
    <row r="485" spans="1:8" ht="15" hidden="1">
      <c r="A485" s="147"/>
      <c r="B485" s="26">
        <v>1</v>
      </c>
      <c r="C485" s="615">
        <v>2</v>
      </c>
      <c r="D485" s="616"/>
      <c r="E485" s="26">
        <v>3</v>
      </c>
      <c r="F485" s="26">
        <v>4</v>
      </c>
      <c r="G485" s="50">
        <v>5</v>
      </c>
      <c r="H485" s="163"/>
    </row>
    <row r="486" spans="1:8" ht="15" hidden="1">
      <c r="A486" s="147"/>
      <c r="B486" s="26"/>
      <c r="C486" s="563"/>
      <c r="D486" s="564"/>
      <c r="E486" s="26"/>
      <c r="F486" s="26"/>
      <c r="G486" s="50"/>
      <c r="H486" s="163"/>
    </row>
    <row r="487" spans="1:8" ht="15" hidden="1">
      <c r="A487" s="147"/>
      <c r="B487" s="26"/>
      <c r="C487" s="569"/>
      <c r="D487" s="569"/>
      <c r="E487" s="173"/>
      <c r="F487" s="184"/>
      <c r="G487" s="184"/>
      <c r="H487" s="174"/>
    </row>
    <row r="488" spans="1:8" ht="15" hidden="1">
      <c r="A488" s="147"/>
      <c r="B488" s="574" t="s">
        <v>60</v>
      </c>
      <c r="C488" s="575"/>
      <c r="D488" s="575"/>
      <c r="E488" s="575"/>
      <c r="F488" s="576"/>
      <c r="G488" s="161">
        <f>SUM(G486)</f>
        <v>0</v>
      </c>
      <c r="H488" s="174"/>
    </row>
    <row r="489" spans="1:8" ht="15" hidden="1">
      <c r="A489" s="147"/>
      <c r="B489" s="181"/>
      <c r="C489" s="182"/>
      <c r="D489" s="182"/>
      <c r="E489" s="182"/>
      <c r="F489" s="181"/>
      <c r="G489" s="183"/>
      <c r="H489" s="174"/>
    </row>
    <row r="490" spans="1:8" ht="15" hidden="1">
      <c r="A490" s="147"/>
      <c r="B490" s="562" t="s">
        <v>272</v>
      </c>
      <c r="C490" s="562"/>
      <c r="D490" s="562"/>
      <c r="E490" s="562"/>
      <c r="F490" s="562"/>
      <c r="G490" s="562"/>
      <c r="H490" s="174"/>
    </row>
    <row r="491" spans="1:8" ht="15" hidden="1">
      <c r="A491" s="147"/>
      <c r="B491" s="181"/>
      <c r="C491" s="182"/>
      <c r="D491" s="182"/>
      <c r="E491" s="182"/>
      <c r="F491" s="181"/>
      <c r="G491" s="183"/>
      <c r="H491" s="174"/>
    </row>
    <row r="492" spans="1:8" ht="30.75" hidden="1">
      <c r="A492" s="147"/>
      <c r="B492" s="50" t="s">
        <v>33</v>
      </c>
      <c r="C492" s="533" t="s">
        <v>40</v>
      </c>
      <c r="D492" s="534"/>
      <c r="E492" s="535"/>
      <c r="F492" s="50" t="s">
        <v>52</v>
      </c>
      <c r="G492" s="50" t="s">
        <v>53</v>
      </c>
      <c r="H492" s="174"/>
    </row>
    <row r="493" spans="1:8" ht="15" hidden="1">
      <c r="A493" s="147"/>
      <c r="B493" s="118"/>
      <c r="C493" s="571"/>
      <c r="D493" s="617"/>
      <c r="E493" s="618"/>
      <c r="F493" s="173"/>
      <c r="G493" s="184"/>
      <c r="H493" s="174"/>
    </row>
    <row r="494" spans="1:8" ht="15" hidden="1">
      <c r="A494" s="147"/>
      <c r="B494" s="118"/>
      <c r="C494" s="571"/>
      <c r="D494" s="617"/>
      <c r="E494" s="618"/>
      <c r="F494" s="173"/>
      <c r="G494" s="184"/>
      <c r="H494" s="174"/>
    </row>
    <row r="495" spans="1:8" ht="15" hidden="1">
      <c r="A495" s="147"/>
      <c r="B495" s="574" t="s">
        <v>74</v>
      </c>
      <c r="C495" s="575"/>
      <c r="D495" s="575"/>
      <c r="E495" s="575"/>
      <c r="F495" s="576"/>
      <c r="G495" s="161">
        <f>SUM(G493:G494)</f>
        <v>0</v>
      </c>
      <c r="H495" s="174"/>
    </row>
    <row r="496" spans="1:8" ht="15" hidden="1">
      <c r="A496" s="147"/>
      <c r="B496" s="181"/>
      <c r="C496" s="182"/>
      <c r="D496" s="182"/>
      <c r="E496" s="182"/>
      <c r="F496" s="181"/>
      <c r="G496" s="183"/>
      <c r="H496" s="174"/>
    </row>
    <row r="497" spans="1:8" ht="15">
      <c r="A497" s="147"/>
      <c r="B497" s="559" t="s">
        <v>273</v>
      </c>
      <c r="C497" s="559"/>
      <c r="D497" s="559"/>
      <c r="E497" s="559"/>
      <c r="F497" s="559"/>
      <c r="G497" s="559"/>
      <c r="H497" s="163"/>
    </row>
    <row r="498" spans="1:8" ht="26.25">
      <c r="A498" s="147"/>
      <c r="B498" s="50" t="s">
        <v>33</v>
      </c>
      <c r="C498" s="533" t="s">
        <v>40</v>
      </c>
      <c r="D498" s="535"/>
      <c r="E498" s="50" t="s">
        <v>54</v>
      </c>
      <c r="F498" s="329" t="s">
        <v>55</v>
      </c>
      <c r="G498" s="50" t="s">
        <v>47</v>
      </c>
      <c r="H498" s="163"/>
    </row>
    <row r="499" spans="1:8" ht="15">
      <c r="A499" s="147"/>
      <c r="B499" s="50">
        <v>1</v>
      </c>
      <c r="C499" s="533">
        <v>2</v>
      </c>
      <c r="D499" s="535"/>
      <c r="E499" s="50">
        <v>3</v>
      </c>
      <c r="F499" s="50">
        <v>4</v>
      </c>
      <c r="G499" s="50">
        <v>5</v>
      </c>
      <c r="H499" s="163"/>
    </row>
    <row r="500" spans="1:8" ht="15">
      <c r="A500" s="147"/>
      <c r="B500" s="27">
        <v>1</v>
      </c>
      <c r="C500" s="571" t="s">
        <v>402</v>
      </c>
      <c r="D500" s="573"/>
      <c r="E500" s="173">
        <v>3</v>
      </c>
      <c r="F500" s="240">
        <f>G500/E500</f>
        <v>80000</v>
      </c>
      <c r="G500" s="239">
        <v>240000</v>
      </c>
      <c r="H500" s="163"/>
    </row>
    <row r="501" spans="1:8" ht="15">
      <c r="A501" s="147"/>
      <c r="B501" s="27">
        <v>2</v>
      </c>
      <c r="C501" s="571" t="s">
        <v>403</v>
      </c>
      <c r="D501" s="573"/>
      <c r="E501" s="173">
        <v>1500</v>
      </c>
      <c r="F501" s="240">
        <f>G501/E501</f>
        <v>620</v>
      </c>
      <c r="G501" s="239">
        <v>930000</v>
      </c>
      <c r="H501" s="163"/>
    </row>
    <row r="502" spans="1:8" ht="15">
      <c r="A502" s="147"/>
      <c r="B502" s="50">
        <v>3</v>
      </c>
      <c r="C502" s="569" t="s">
        <v>315</v>
      </c>
      <c r="D502" s="570"/>
      <c r="E502" s="173">
        <v>2</v>
      </c>
      <c r="F502" s="240">
        <f>G502/E502</f>
        <v>71000</v>
      </c>
      <c r="G502" s="239">
        <f>100000+42000</f>
        <v>142000</v>
      </c>
      <c r="H502" s="163"/>
    </row>
    <row r="503" spans="1:8" ht="15">
      <c r="A503" s="147"/>
      <c r="B503" s="50">
        <v>4</v>
      </c>
      <c r="C503" s="569" t="s">
        <v>404</v>
      </c>
      <c r="D503" s="570"/>
      <c r="E503" s="173">
        <v>100</v>
      </c>
      <c r="F503" s="240">
        <f>G503/E503</f>
        <v>3950</v>
      </c>
      <c r="G503" s="239">
        <v>395000</v>
      </c>
      <c r="H503" s="163"/>
    </row>
    <row r="504" spans="1:8" ht="15">
      <c r="A504" s="147"/>
      <c r="B504" s="574" t="s">
        <v>57</v>
      </c>
      <c r="C504" s="575"/>
      <c r="D504" s="575"/>
      <c r="E504" s="575"/>
      <c r="F504" s="576"/>
      <c r="G504" s="68">
        <f>G500+G502+G501+G503</f>
        <v>1707000</v>
      </c>
      <c r="H504" s="163"/>
    </row>
    <row r="505" spans="1:8" ht="15" hidden="1">
      <c r="A505" s="147"/>
      <c r="B505" s="582" t="s">
        <v>274</v>
      </c>
      <c r="C505" s="582"/>
      <c r="D505" s="582"/>
      <c r="E505" s="582"/>
      <c r="F505" s="582"/>
      <c r="G505" s="582"/>
      <c r="H505" s="163"/>
    </row>
    <row r="506" spans="1:8" ht="15" hidden="1">
      <c r="A506" s="147"/>
      <c r="B506" s="163"/>
      <c r="C506" s="163"/>
      <c r="D506" s="164"/>
      <c r="E506" s="163"/>
      <c r="F506" s="163"/>
      <c r="G506" s="163"/>
      <c r="H506" s="163"/>
    </row>
    <row r="507" spans="1:8" ht="30.75" hidden="1">
      <c r="A507" s="147"/>
      <c r="B507" s="50" t="s">
        <v>33</v>
      </c>
      <c r="C507" s="533" t="s">
        <v>40</v>
      </c>
      <c r="D507" s="535"/>
      <c r="E507" s="50" t="s">
        <v>54</v>
      </c>
      <c r="F507" s="50" t="s">
        <v>55</v>
      </c>
      <c r="G507" s="50" t="s">
        <v>47</v>
      </c>
      <c r="H507" s="163"/>
    </row>
    <row r="508" spans="1:8" ht="15" hidden="1">
      <c r="A508" s="147"/>
      <c r="B508" s="194">
        <v>1</v>
      </c>
      <c r="C508" s="580">
        <v>2</v>
      </c>
      <c r="D508" s="581"/>
      <c r="E508" s="193">
        <v>3</v>
      </c>
      <c r="F508" s="193">
        <v>4</v>
      </c>
      <c r="G508" s="30">
        <v>5</v>
      </c>
      <c r="H508" s="163"/>
    </row>
    <row r="509" spans="1:8" ht="15" hidden="1">
      <c r="A509" s="147"/>
      <c r="B509" s="27"/>
      <c r="C509" s="619"/>
      <c r="D509" s="627"/>
      <c r="E509" s="173"/>
      <c r="F509" s="179"/>
      <c r="G509" s="123"/>
      <c r="H509" s="163"/>
    </row>
    <row r="510" spans="1:8" ht="15" hidden="1">
      <c r="A510" s="147"/>
      <c r="B510" s="574" t="s">
        <v>228</v>
      </c>
      <c r="C510" s="575"/>
      <c r="D510" s="575"/>
      <c r="E510" s="575"/>
      <c r="F510" s="576"/>
      <c r="G510" s="68">
        <f>SUM(G509:G509)</f>
        <v>0</v>
      </c>
      <c r="H510" s="163"/>
    </row>
    <row r="511" ht="15" hidden="1"/>
    <row r="512" spans="1:8" ht="15" hidden="1">
      <c r="A512" s="147"/>
      <c r="B512" s="559" t="s">
        <v>275</v>
      </c>
      <c r="C512" s="559"/>
      <c r="D512" s="559"/>
      <c r="E512" s="559"/>
      <c r="F512" s="559"/>
      <c r="G512" s="559"/>
      <c r="H512" s="163"/>
    </row>
    <row r="513" spans="1:8" ht="15" hidden="1">
      <c r="A513" s="147"/>
      <c r="B513" s="163"/>
      <c r="C513" s="163"/>
      <c r="D513" s="164"/>
      <c r="E513" s="163"/>
      <c r="F513" s="163"/>
      <c r="G513" s="163"/>
      <c r="H513" s="163"/>
    </row>
    <row r="514" spans="1:8" ht="30.75" hidden="1">
      <c r="A514" s="147"/>
      <c r="B514" s="50" t="s">
        <v>33</v>
      </c>
      <c r="C514" s="533" t="s">
        <v>40</v>
      </c>
      <c r="D514" s="535"/>
      <c r="E514" s="50" t="s">
        <v>54</v>
      </c>
      <c r="F514" s="50" t="s">
        <v>55</v>
      </c>
      <c r="G514" s="50" t="s">
        <v>47</v>
      </c>
      <c r="H514" s="163"/>
    </row>
    <row r="515" spans="1:8" ht="15" hidden="1">
      <c r="A515" s="147"/>
      <c r="B515" s="194">
        <v>1</v>
      </c>
      <c r="C515" s="580">
        <v>2</v>
      </c>
      <c r="D515" s="581"/>
      <c r="E515" s="193">
        <v>3</v>
      </c>
      <c r="F515" s="193">
        <v>4</v>
      </c>
      <c r="G515" s="30">
        <v>5</v>
      </c>
      <c r="H515" s="163"/>
    </row>
    <row r="516" spans="1:8" ht="15" hidden="1">
      <c r="A516" s="147"/>
      <c r="B516" s="50"/>
      <c r="C516" s="569"/>
      <c r="D516" s="570"/>
      <c r="E516" s="173"/>
      <c r="F516" s="179"/>
      <c r="G516" s="123"/>
      <c r="H516" s="163"/>
    </row>
    <row r="517" spans="1:8" ht="15" hidden="1">
      <c r="A517" s="147"/>
      <c r="B517" s="574" t="s">
        <v>229</v>
      </c>
      <c r="C517" s="575"/>
      <c r="D517" s="575"/>
      <c r="E517" s="575"/>
      <c r="F517" s="576"/>
      <c r="G517" s="68">
        <f>G516</f>
        <v>0</v>
      </c>
      <c r="H517" s="163"/>
    </row>
    <row r="518" ht="15" hidden="1"/>
    <row r="519" spans="1:8" ht="15" hidden="1">
      <c r="A519" s="147"/>
      <c r="B519" s="559" t="s">
        <v>276</v>
      </c>
      <c r="C519" s="559"/>
      <c r="D519" s="559"/>
      <c r="E519" s="559"/>
      <c r="F519" s="559"/>
      <c r="G519" s="559"/>
      <c r="H519" s="163"/>
    </row>
    <row r="520" spans="1:8" ht="15" hidden="1">
      <c r="A520" s="147"/>
      <c r="B520" s="163"/>
      <c r="C520" s="163"/>
      <c r="D520" s="164"/>
      <c r="E520" s="163"/>
      <c r="F520" s="163"/>
      <c r="G520" s="163"/>
      <c r="H520" s="163"/>
    </row>
    <row r="521" spans="1:8" ht="30.75" hidden="1">
      <c r="A521" s="147"/>
      <c r="B521" s="50" t="s">
        <v>33</v>
      </c>
      <c r="C521" s="533" t="s">
        <v>40</v>
      </c>
      <c r="D521" s="535"/>
      <c r="E521" s="50" t="s">
        <v>54</v>
      </c>
      <c r="F521" s="50" t="s">
        <v>55</v>
      </c>
      <c r="G521" s="50" t="s">
        <v>47</v>
      </c>
      <c r="H521" s="163"/>
    </row>
    <row r="522" spans="1:8" ht="15" hidden="1">
      <c r="A522" s="147"/>
      <c r="B522" s="194">
        <v>1</v>
      </c>
      <c r="C522" s="580">
        <v>2</v>
      </c>
      <c r="D522" s="581"/>
      <c r="E522" s="193">
        <v>3</v>
      </c>
      <c r="F522" s="193">
        <v>4</v>
      </c>
      <c r="G522" s="30">
        <v>5</v>
      </c>
      <c r="H522" s="163"/>
    </row>
    <row r="523" spans="1:8" ht="15" hidden="1">
      <c r="A523" s="147"/>
      <c r="B523" s="27"/>
      <c r="C523" s="571"/>
      <c r="D523" s="573"/>
      <c r="E523" s="218"/>
      <c r="F523" s="179"/>
      <c r="G523" s="123"/>
      <c r="H523" s="163"/>
    </row>
    <row r="524" spans="1:8" ht="15" hidden="1">
      <c r="A524" s="147"/>
      <c r="B524" s="50"/>
      <c r="C524" s="569"/>
      <c r="D524" s="570"/>
      <c r="E524" s="173"/>
      <c r="F524" s="179"/>
      <c r="G524" s="123"/>
      <c r="H524" s="163"/>
    </row>
    <row r="525" spans="1:8" ht="15" hidden="1">
      <c r="A525" s="147"/>
      <c r="B525" s="574" t="s">
        <v>230</v>
      </c>
      <c r="C525" s="575"/>
      <c r="D525" s="575"/>
      <c r="E525" s="575"/>
      <c r="F525" s="576"/>
      <c r="G525" s="68">
        <f>G523+G524</f>
        <v>0</v>
      </c>
      <c r="H525" s="163"/>
    </row>
    <row r="526" ht="15" hidden="1"/>
    <row r="527" spans="1:8" ht="15" hidden="1">
      <c r="A527" s="147"/>
      <c r="B527" s="559" t="s">
        <v>277</v>
      </c>
      <c r="C527" s="559"/>
      <c r="D527" s="559"/>
      <c r="E527" s="559"/>
      <c r="F527" s="559"/>
      <c r="G527" s="559"/>
      <c r="H527" s="163"/>
    </row>
    <row r="528" spans="1:8" ht="15" hidden="1">
      <c r="A528" s="147"/>
      <c r="B528" s="163"/>
      <c r="C528" s="163"/>
      <c r="D528" s="164"/>
      <c r="E528" s="163"/>
      <c r="F528" s="163"/>
      <c r="G528" s="163"/>
      <c r="H528" s="163"/>
    </row>
    <row r="529" spans="1:8" ht="30.75" hidden="1">
      <c r="A529" s="147"/>
      <c r="B529" s="50" t="s">
        <v>33</v>
      </c>
      <c r="C529" s="533" t="s">
        <v>40</v>
      </c>
      <c r="D529" s="535"/>
      <c r="E529" s="50" t="s">
        <v>54</v>
      </c>
      <c r="F529" s="50" t="s">
        <v>55</v>
      </c>
      <c r="G529" s="50" t="s">
        <v>47</v>
      </c>
      <c r="H529" s="163"/>
    </row>
    <row r="530" spans="1:8" ht="15" hidden="1">
      <c r="A530" s="147"/>
      <c r="B530" s="194">
        <v>1</v>
      </c>
      <c r="C530" s="580">
        <v>2</v>
      </c>
      <c r="D530" s="581"/>
      <c r="E530" s="193">
        <v>3</v>
      </c>
      <c r="F530" s="193">
        <v>4</v>
      </c>
      <c r="G530" s="30">
        <v>5</v>
      </c>
      <c r="H530" s="163"/>
    </row>
    <row r="531" spans="1:8" ht="15" hidden="1">
      <c r="A531" s="147"/>
      <c r="B531" s="50"/>
      <c r="C531" s="569"/>
      <c r="D531" s="570"/>
      <c r="E531" s="173"/>
      <c r="F531" s="179"/>
      <c r="G531" s="123"/>
      <c r="H531" s="163"/>
    </row>
    <row r="532" spans="1:8" ht="15" hidden="1">
      <c r="A532" s="147"/>
      <c r="B532" s="574" t="s">
        <v>231</v>
      </c>
      <c r="C532" s="575"/>
      <c r="D532" s="575"/>
      <c r="E532" s="575"/>
      <c r="F532" s="576"/>
      <c r="G532" s="68">
        <f>G531</f>
        <v>0</v>
      </c>
      <c r="H532" s="163"/>
    </row>
    <row r="533" ht="15" hidden="1"/>
    <row r="534" spans="1:8" ht="15" hidden="1">
      <c r="A534" s="147"/>
      <c r="B534" s="559" t="s">
        <v>278</v>
      </c>
      <c r="C534" s="559"/>
      <c r="D534" s="559"/>
      <c r="E534" s="559"/>
      <c r="F534" s="559"/>
      <c r="G534" s="559"/>
      <c r="H534" s="163"/>
    </row>
    <row r="535" spans="1:8" ht="15" hidden="1">
      <c r="A535" s="147"/>
      <c r="B535" s="163"/>
      <c r="C535" s="163"/>
      <c r="D535" s="164"/>
      <c r="E535" s="163"/>
      <c r="F535" s="163"/>
      <c r="G535" s="163"/>
      <c r="H535" s="163"/>
    </row>
    <row r="536" spans="1:8" ht="30.75" hidden="1">
      <c r="A536" s="147"/>
      <c r="B536" s="50" t="s">
        <v>33</v>
      </c>
      <c r="C536" s="533" t="s">
        <v>40</v>
      </c>
      <c r="D536" s="535"/>
      <c r="E536" s="50" t="s">
        <v>54</v>
      </c>
      <c r="F536" s="50" t="s">
        <v>55</v>
      </c>
      <c r="G536" s="50" t="s">
        <v>47</v>
      </c>
      <c r="H536" s="163"/>
    </row>
    <row r="537" spans="1:8" ht="15" hidden="1">
      <c r="A537" s="147"/>
      <c r="B537" s="194">
        <v>1</v>
      </c>
      <c r="C537" s="580">
        <v>2</v>
      </c>
      <c r="D537" s="581"/>
      <c r="E537" s="193">
        <v>3</v>
      </c>
      <c r="F537" s="193">
        <v>4</v>
      </c>
      <c r="G537" s="30">
        <v>5</v>
      </c>
      <c r="H537" s="163"/>
    </row>
    <row r="538" spans="1:8" ht="15" hidden="1">
      <c r="A538" s="147"/>
      <c r="B538" s="194"/>
      <c r="C538" s="580"/>
      <c r="D538" s="583"/>
      <c r="E538" s="193"/>
      <c r="F538" s="193"/>
      <c r="G538" s="30"/>
      <c r="H538" s="163"/>
    </row>
    <row r="539" spans="1:8" ht="15" hidden="1">
      <c r="A539" s="147"/>
      <c r="B539" s="574" t="s">
        <v>59</v>
      </c>
      <c r="C539" s="575"/>
      <c r="D539" s="575"/>
      <c r="E539" s="575"/>
      <c r="F539" s="576"/>
      <c r="G539" s="68">
        <v>0</v>
      </c>
      <c r="H539" s="163"/>
    </row>
    <row r="540" ht="15" hidden="1"/>
    <row r="541" spans="1:8" ht="15">
      <c r="A541" s="147"/>
      <c r="B541" s="559" t="s">
        <v>279</v>
      </c>
      <c r="C541" s="559"/>
      <c r="D541" s="559"/>
      <c r="E541" s="559"/>
      <c r="F541" s="559"/>
      <c r="G541" s="559"/>
      <c r="H541" s="163"/>
    </row>
    <row r="542" spans="1:8" ht="26.25">
      <c r="A542" s="147"/>
      <c r="B542" s="50" t="s">
        <v>33</v>
      </c>
      <c r="C542" s="533" t="s">
        <v>40</v>
      </c>
      <c r="D542" s="535"/>
      <c r="E542" s="50" t="s">
        <v>54</v>
      </c>
      <c r="F542" s="329" t="s">
        <v>55</v>
      </c>
      <c r="G542" s="50" t="s">
        <v>47</v>
      </c>
      <c r="H542" s="163"/>
    </row>
    <row r="543" spans="1:8" ht="15">
      <c r="A543" s="147"/>
      <c r="B543" s="50">
        <v>1</v>
      </c>
      <c r="C543" s="533">
        <v>2</v>
      </c>
      <c r="D543" s="535"/>
      <c r="E543" s="50">
        <v>3</v>
      </c>
      <c r="F543" s="50">
        <v>4</v>
      </c>
      <c r="G543" s="50">
        <v>5</v>
      </c>
      <c r="H543" s="163"/>
    </row>
    <row r="544" spans="1:8" ht="15">
      <c r="A544" s="147"/>
      <c r="B544" s="194" t="s">
        <v>316</v>
      </c>
      <c r="C544" s="557" t="s">
        <v>405</v>
      </c>
      <c r="D544" s="558"/>
      <c r="E544" s="267" t="s">
        <v>446</v>
      </c>
      <c r="F544" s="267" t="s">
        <v>445</v>
      </c>
      <c r="G544" s="315">
        <v>50000</v>
      </c>
      <c r="H544" s="163"/>
    </row>
    <row r="545" spans="1:8" ht="15">
      <c r="A545" s="147"/>
      <c r="B545" s="574" t="s">
        <v>56</v>
      </c>
      <c r="C545" s="575"/>
      <c r="D545" s="575"/>
      <c r="E545" s="575"/>
      <c r="F545" s="576"/>
      <c r="G545" s="68">
        <f>SUM(G544:G544)</f>
        <v>50000</v>
      </c>
      <c r="H545" s="163"/>
    </row>
    <row r="546" spans="2:9" s="131" customFormat="1" ht="34.5" customHeight="1">
      <c r="B546" s="582" t="s">
        <v>281</v>
      </c>
      <c r="C546" s="582"/>
      <c r="D546" s="582"/>
      <c r="E546" s="582"/>
      <c r="F546" s="582"/>
      <c r="G546" s="582"/>
      <c r="I546" s="6"/>
    </row>
    <row r="547" spans="2:9" s="131" customFormat="1" ht="26.25">
      <c r="B547" s="50" t="s">
        <v>33</v>
      </c>
      <c r="C547" s="533" t="s">
        <v>40</v>
      </c>
      <c r="D547" s="535"/>
      <c r="E547" s="50" t="s">
        <v>54</v>
      </c>
      <c r="F547" s="329" t="s">
        <v>55</v>
      </c>
      <c r="G547" s="50" t="s">
        <v>47</v>
      </c>
      <c r="I547" s="6"/>
    </row>
    <row r="548" spans="2:9" s="131" customFormat="1" ht="15">
      <c r="B548" s="50">
        <v>1</v>
      </c>
      <c r="C548" s="533">
        <v>2</v>
      </c>
      <c r="D548" s="535"/>
      <c r="E548" s="50">
        <v>3</v>
      </c>
      <c r="F548" s="50">
        <v>4</v>
      </c>
      <c r="G548" s="50">
        <v>5</v>
      </c>
      <c r="I548" s="6"/>
    </row>
    <row r="549" spans="2:9" s="131" customFormat="1" ht="31.5" customHeight="1">
      <c r="B549" s="194" t="s">
        <v>316</v>
      </c>
      <c r="C549" s="557" t="s">
        <v>490</v>
      </c>
      <c r="D549" s="558"/>
      <c r="E549" s="193" t="s">
        <v>535</v>
      </c>
      <c r="F549" s="218">
        <f>G549/E549</f>
        <v>179.64071856287424</v>
      </c>
      <c r="G549" s="239">
        <v>30000</v>
      </c>
      <c r="H549" s="316"/>
      <c r="I549" s="6"/>
    </row>
    <row r="550" spans="2:9" s="131" customFormat="1" ht="15">
      <c r="B550" s="574" t="s">
        <v>58</v>
      </c>
      <c r="C550" s="575"/>
      <c r="D550" s="575"/>
      <c r="E550" s="575"/>
      <c r="F550" s="576"/>
      <c r="G550" s="68">
        <f>G549</f>
        <v>30000</v>
      </c>
      <c r="I550" s="6"/>
    </row>
    <row r="552" spans="1:7" ht="15" hidden="1">
      <c r="A552" s="6"/>
      <c r="B552" s="582" t="s">
        <v>280</v>
      </c>
      <c r="C552" s="582"/>
      <c r="D552" s="582"/>
      <c r="E552" s="582"/>
      <c r="F552" s="582"/>
      <c r="G552" s="582"/>
    </row>
    <row r="553" spans="1:7" ht="15" hidden="1">
      <c r="A553" s="6"/>
      <c r="B553" s="163"/>
      <c r="C553" s="163"/>
      <c r="D553" s="164"/>
      <c r="E553" s="163"/>
      <c r="F553" s="163"/>
      <c r="G553" s="163"/>
    </row>
    <row r="554" spans="1:7" ht="30.75" hidden="1">
      <c r="A554" s="6"/>
      <c r="B554" s="50" t="s">
        <v>33</v>
      </c>
      <c r="C554" s="533" t="s">
        <v>40</v>
      </c>
      <c r="D554" s="535"/>
      <c r="E554" s="50" t="s">
        <v>50</v>
      </c>
      <c r="F554" s="50" t="s">
        <v>51</v>
      </c>
      <c r="G554" s="50" t="s">
        <v>47</v>
      </c>
    </row>
    <row r="555" spans="1:7" ht="15" hidden="1">
      <c r="A555" s="6"/>
      <c r="B555" s="194">
        <v>1</v>
      </c>
      <c r="C555" s="580">
        <v>2</v>
      </c>
      <c r="D555" s="581"/>
      <c r="E555" s="193">
        <v>3</v>
      </c>
      <c r="F555" s="193">
        <v>4</v>
      </c>
      <c r="G555" s="30">
        <v>5</v>
      </c>
    </row>
    <row r="556" spans="1:7" ht="15" hidden="1">
      <c r="A556" s="6"/>
      <c r="B556" s="194"/>
      <c r="C556" s="580"/>
      <c r="D556" s="583"/>
      <c r="E556" s="193"/>
      <c r="F556" s="193"/>
      <c r="G556" s="30"/>
    </row>
    <row r="557" spans="1:7" ht="15" hidden="1">
      <c r="A557" s="6"/>
      <c r="B557" s="574" t="s">
        <v>232</v>
      </c>
      <c r="C557" s="575"/>
      <c r="D557" s="575"/>
      <c r="E557" s="575"/>
      <c r="F557" s="576"/>
      <c r="G557" s="68">
        <v>0</v>
      </c>
    </row>
    <row r="558" ht="15" hidden="1">
      <c r="A558" s="6"/>
    </row>
    <row r="559" spans="1:7" ht="15" hidden="1">
      <c r="A559" s="6"/>
      <c r="B559" s="582" t="s">
        <v>281</v>
      </c>
      <c r="C559" s="582"/>
      <c r="D559" s="582"/>
      <c r="E559" s="582"/>
      <c r="F559" s="582"/>
      <c r="G559" s="582"/>
    </row>
    <row r="560" spans="1:7" ht="15" hidden="1">
      <c r="A560" s="6"/>
      <c r="B560" s="163"/>
      <c r="C560" s="163"/>
      <c r="D560" s="164"/>
      <c r="E560" s="163"/>
      <c r="F560" s="163"/>
      <c r="G560" s="163"/>
    </row>
    <row r="561" spans="1:7" ht="30.75" hidden="1">
      <c r="A561" s="6"/>
      <c r="B561" s="50" t="s">
        <v>33</v>
      </c>
      <c r="C561" s="533" t="s">
        <v>40</v>
      </c>
      <c r="D561" s="535"/>
      <c r="E561" s="50" t="s">
        <v>54</v>
      </c>
      <c r="F561" s="50" t="s">
        <v>55</v>
      </c>
      <c r="G561" s="50" t="s">
        <v>47</v>
      </c>
    </row>
    <row r="562" spans="1:7" ht="15" hidden="1">
      <c r="A562" s="6"/>
      <c r="B562" s="194">
        <v>1</v>
      </c>
      <c r="C562" s="580">
        <v>2</v>
      </c>
      <c r="D562" s="581"/>
      <c r="E562" s="193">
        <v>3</v>
      </c>
      <c r="F562" s="193">
        <v>4</v>
      </c>
      <c r="G562" s="30">
        <v>5</v>
      </c>
    </row>
    <row r="563" spans="1:7" ht="15" hidden="1">
      <c r="A563" s="6"/>
      <c r="B563" s="50"/>
      <c r="C563" s="569"/>
      <c r="D563" s="570"/>
      <c r="E563" s="173"/>
      <c r="F563" s="179"/>
      <c r="G563" s="123"/>
    </row>
    <row r="564" spans="2:7" ht="15" hidden="1">
      <c r="B564" s="574" t="s">
        <v>58</v>
      </c>
      <c r="C564" s="575"/>
      <c r="D564" s="575"/>
      <c r="E564" s="575"/>
      <c r="F564" s="576"/>
      <c r="G564" s="68">
        <f>G563</f>
        <v>0</v>
      </c>
    </row>
    <row r="565" ht="15" hidden="1"/>
    <row r="566" spans="2:7" ht="15" hidden="1">
      <c r="B566" s="626" t="s">
        <v>282</v>
      </c>
      <c r="C566" s="626"/>
      <c r="D566" s="626"/>
      <c r="E566" s="626"/>
      <c r="F566" s="626"/>
      <c r="G566" s="626"/>
    </row>
    <row r="567" spans="1:8" ht="15">
      <c r="A567" s="172"/>
      <c r="B567" s="171"/>
      <c r="C567" s="171"/>
      <c r="D567" s="171"/>
      <c r="E567" s="171"/>
      <c r="F567" s="171"/>
      <c r="G567" s="178"/>
      <c r="H567" s="22"/>
    </row>
    <row r="568" spans="1:8" ht="15" hidden="1">
      <c r="A568" s="172"/>
      <c r="B568" s="582" t="s">
        <v>268</v>
      </c>
      <c r="C568" s="582"/>
      <c r="D568" s="582"/>
      <c r="E568" s="582"/>
      <c r="F568" s="582"/>
      <c r="G568" s="582"/>
      <c r="H568" s="22"/>
    </row>
    <row r="569" spans="1:8" ht="15" hidden="1">
      <c r="A569" s="172"/>
      <c r="B569" s="163"/>
      <c r="C569" s="163"/>
      <c r="D569" s="164"/>
      <c r="E569" s="163"/>
      <c r="F569" s="163"/>
      <c r="G569" s="163"/>
      <c r="H569" s="22"/>
    </row>
    <row r="570" spans="1:8" ht="30.75" hidden="1">
      <c r="A570" s="172"/>
      <c r="B570" s="50" t="s">
        <v>33</v>
      </c>
      <c r="C570" s="50" t="s">
        <v>40</v>
      </c>
      <c r="D570" s="50" t="s">
        <v>54</v>
      </c>
      <c r="E570" s="27" t="s">
        <v>285</v>
      </c>
      <c r="F570" s="50" t="s">
        <v>47</v>
      </c>
      <c r="G570" s="8"/>
      <c r="H570" s="22"/>
    </row>
    <row r="571" spans="1:8" ht="15" hidden="1">
      <c r="A571" s="172"/>
      <c r="B571" s="118">
        <v>1</v>
      </c>
      <c r="C571" s="118">
        <v>2</v>
      </c>
      <c r="D571" s="118">
        <v>3</v>
      </c>
      <c r="E571" s="158">
        <v>4</v>
      </c>
      <c r="F571" s="50">
        <v>5</v>
      </c>
      <c r="G571" s="8"/>
      <c r="H571" s="22"/>
    </row>
    <row r="572" spans="1:8" ht="15" hidden="1">
      <c r="A572" s="172"/>
      <c r="B572" s="118"/>
      <c r="C572" s="50"/>
      <c r="D572" s="118"/>
      <c r="E572" s="158"/>
      <c r="F572" s="187"/>
      <c r="G572" s="8"/>
      <c r="H572" s="22"/>
    </row>
    <row r="573" spans="1:8" ht="15" hidden="1">
      <c r="A573" s="172"/>
      <c r="B573" s="118"/>
      <c r="C573" s="50"/>
      <c r="D573" s="118"/>
      <c r="E573" s="158"/>
      <c r="F573" s="187"/>
      <c r="G573" s="8"/>
      <c r="H573" s="22"/>
    </row>
    <row r="574" spans="1:8" ht="15" hidden="1">
      <c r="A574" s="147"/>
      <c r="B574" s="574" t="s">
        <v>227</v>
      </c>
      <c r="C574" s="575"/>
      <c r="D574" s="575"/>
      <c r="E574" s="576"/>
      <c r="F574" s="122">
        <f>SUM(F572:F573)</f>
        <v>0</v>
      </c>
      <c r="G574" s="247"/>
      <c r="H574" s="163"/>
    </row>
    <row r="575" spans="1:8" ht="15" hidden="1">
      <c r="A575" s="147"/>
      <c r="B575" s="176"/>
      <c r="C575" s="176"/>
      <c r="D575" s="176"/>
      <c r="E575" s="176"/>
      <c r="F575" s="178"/>
      <c r="G575" s="247"/>
      <c r="H575" s="163"/>
    </row>
    <row r="576" spans="1:8" ht="15" hidden="1">
      <c r="A576" s="147"/>
      <c r="B576" s="582" t="s">
        <v>269</v>
      </c>
      <c r="C576" s="582"/>
      <c r="D576" s="582"/>
      <c r="E576" s="582"/>
      <c r="F576" s="582"/>
      <c r="G576" s="582"/>
      <c r="H576" s="163"/>
    </row>
    <row r="577" spans="1:8" ht="15" hidden="1">
      <c r="A577" s="147"/>
      <c r="B577" s="163"/>
      <c r="C577" s="163"/>
      <c r="D577" s="164"/>
      <c r="E577" s="163"/>
      <c r="F577" s="163"/>
      <c r="G577" s="163"/>
      <c r="H577" s="163"/>
    </row>
    <row r="578" spans="1:8" ht="30.75" hidden="1">
      <c r="A578" s="147"/>
      <c r="B578" s="50" t="s">
        <v>33</v>
      </c>
      <c r="C578" s="50" t="s">
        <v>40</v>
      </c>
      <c r="D578" s="50" t="s">
        <v>50</v>
      </c>
      <c r="E578" s="27" t="s">
        <v>51</v>
      </c>
      <c r="F578" s="50" t="s">
        <v>47</v>
      </c>
      <c r="G578" s="8"/>
      <c r="H578" s="163"/>
    </row>
    <row r="579" spans="1:8" ht="15" hidden="1">
      <c r="A579" s="147"/>
      <c r="B579" s="118">
        <v>1</v>
      </c>
      <c r="C579" s="118">
        <v>2</v>
      </c>
      <c r="D579" s="118">
        <v>3</v>
      </c>
      <c r="E579" s="158">
        <v>4</v>
      </c>
      <c r="F579" s="50">
        <v>5</v>
      </c>
      <c r="G579" s="8"/>
      <c r="H579" s="163"/>
    </row>
    <row r="580" spans="1:8" ht="62.25" hidden="1">
      <c r="A580" s="147"/>
      <c r="B580" s="118">
        <v>1</v>
      </c>
      <c r="C580" s="36" t="s">
        <v>336</v>
      </c>
      <c r="D580" s="118">
        <v>1</v>
      </c>
      <c r="E580" s="158">
        <v>12</v>
      </c>
      <c r="F580" s="187">
        <v>0</v>
      </c>
      <c r="G580" s="8"/>
      <c r="H580" s="174"/>
    </row>
    <row r="581" spans="1:8" ht="30.75" hidden="1">
      <c r="A581" s="147"/>
      <c r="B581" s="118">
        <v>2</v>
      </c>
      <c r="C581" s="36" t="s">
        <v>337</v>
      </c>
      <c r="D581" s="118">
        <v>1</v>
      </c>
      <c r="E581" s="158">
        <v>1</v>
      </c>
      <c r="F581" s="187">
        <v>0</v>
      </c>
      <c r="G581" s="8"/>
      <c r="H581" s="174"/>
    </row>
    <row r="582" spans="1:8" ht="46.5" hidden="1">
      <c r="A582" s="147"/>
      <c r="B582" s="118">
        <v>3</v>
      </c>
      <c r="C582" s="36" t="s">
        <v>338</v>
      </c>
      <c r="D582" s="118">
        <v>1</v>
      </c>
      <c r="E582" s="158">
        <v>12</v>
      </c>
      <c r="F582" s="187">
        <v>0</v>
      </c>
      <c r="G582" s="8"/>
      <c r="H582" s="174"/>
    </row>
    <row r="583" spans="1:8" ht="62.25" hidden="1">
      <c r="A583" s="147"/>
      <c r="B583" s="118">
        <v>4</v>
      </c>
      <c r="C583" s="36" t="s">
        <v>339</v>
      </c>
      <c r="D583" s="118">
        <v>1</v>
      </c>
      <c r="E583" s="158">
        <v>12</v>
      </c>
      <c r="F583" s="187">
        <v>0</v>
      </c>
      <c r="G583" s="8"/>
      <c r="H583" s="174"/>
    </row>
    <row r="584" spans="1:8" ht="62.25" hidden="1">
      <c r="A584" s="147"/>
      <c r="B584" s="118">
        <v>5</v>
      </c>
      <c r="C584" s="36" t="s">
        <v>340</v>
      </c>
      <c r="D584" s="118">
        <v>1</v>
      </c>
      <c r="E584" s="158">
        <v>12</v>
      </c>
      <c r="F584" s="187">
        <v>0</v>
      </c>
      <c r="G584" s="8"/>
      <c r="H584" s="174"/>
    </row>
    <row r="585" spans="1:8" ht="78" hidden="1">
      <c r="A585" s="147"/>
      <c r="B585" s="118">
        <v>6</v>
      </c>
      <c r="C585" s="36" t="s">
        <v>341</v>
      </c>
      <c r="D585" s="118">
        <v>1</v>
      </c>
      <c r="E585" s="158">
        <v>12</v>
      </c>
      <c r="F585" s="187">
        <v>0</v>
      </c>
      <c r="G585" s="8"/>
      <c r="H585" s="174"/>
    </row>
    <row r="586" spans="1:8" ht="30.75" hidden="1">
      <c r="A586" s="147"/>
      <c r="B586" s="118">
        <v>8</v>
      </c>
      <c r="C586" s="36" t="s">
        <v>343</v>
      </c>
      <c r="D586" s="118">
        <v>1</v>
      </c>
      <c r="E586" s="158">
        <v>12</v>
      </c>
      <c r="F586" s="187">
        <v>0</v>
      </c>
      <c r="G586" s="8"/>
      <c r="H586" s="174"/>
    </row>
    <row r="587" spans="1:8" ht="15" hidden="1">
      <c r="A587" s="172"/>
      <c r="B587" s="574" t="s">
        <v>69</v>
      </c>
      <c r="C587" s="575"/>
      <c r="D587" s="575"/>
      <c r="E587" s="576"/>
      <c r="F587" s="122">
        <f>SUM(F580:F586)</f>
        <v>0</v>
      </c>
      <c r="G587" s="247"/>
      <c r="H587" s="175"/>
    </row>
    <row r="588" spans="1:8" ht="15" hidden="1">
      <c r="A588" s="172"/>
      <c r="B588" s="176"/>
      <c r="C588" s="177"/>
      <c r="D588" s="176"/>
      <c r="E588" s="176"/>
      <c r="F588" s="176"/>
      <c r="G588" s="178"/>
      <c r="H588" s="175"/>
    </row>
    <row r="589" spans="1:8" ht="15" hidden="1">
      <c r="A589" s="147"/>
      <c r="B589" s="559" t="s">
        <v>270</v>
      </c>
      <c r="C589" s="559"/>
      <c r="D589" s="559"/>
      <c r="E589" s="559"/>
      <c r="F589" s="559"/>
      <c r="G589" s="559"/>
      <c r="H589" s="163"/>
    </row>
    <row r="590" spans="1:8" ht="15" hidden="1">
      <c r="A590" s="147"/>
      <c r="B590" s="163"/>
      <c r="C590" s="163"/>
      <c r="D590" s="164"/>
      <c r="E590" s="163"/>
      <c r="F590" s="163"/>
      <c r="G590" s="163"/>
      <c r="H590" s="163"/>
    </row>
    <row r="591" spans="1:8" ht="30.75" hidden="1">
      <c r="A591" s="147"/>
      <c r="B591" s="50" t="s">
        <v>33</v>
      </c>
      <c r="C591" s="533" t="s">
        <v>40</v>
      </c>
      <c r="D591" s="534"/>
      <c r="E591" s="535"/>
      <c r="F591" s="50" t="s">
        <v>52</v>
      </c>
      <c r="G591" s="50" t="s">
        <v>53</v>
      </c>
      <c r="H591" s="163"/>
    </row>
    <row r="592" spans="1:8" ht="15" hidden="1">
      <c r="A592" s="147"/>
      <c r="B592" s="26">
        <v>1</v>
      </c>
      <c r="C592" s="615">
        <v>2</v>
      </c>
      <c r="D592" s="633"/>
      <c r="E592" s="616"/>
      <c r="F592" s="26">
        <v>3</v>
      </c>
      <c r="G592" s="26">
        <v>4</v>
      </c>
      <c r="H592" s="163"/>
    </row>
    <row r="593" spans="1:8" ht="15" hidden="1">
      <c r="A593" s="147"/>
      <c r="B593" s="118">
        <v>1</v>
      </c>
      <c r="C593" s="571" t="s">
        <v>344</v>
      </c>
      <c r="D593" s="572"/>
      <c r="E593" s="573"/>
      <c r="F593" s="173" t="s">
        <v>313</v>
      </c>
      <c r="G593" s="179">
        <v>0</v>
      </c>
      <c r="H593" s="174"/>
    </row>
    <row r="594" spans="1:8" ht="15" hidden="1">
      <c r="A594" s="147"/>
      <c r="B594" s="118">
        <v>3</v>
      </c>
      <c r="C594" s="571" t="s">
        <v>345</v>
      </c>
      <c r="D594" s="572"/>
      <c r="E594" s="573"/>
      <c r="F594" s="173" t="s">
        <v>313</v>
      </c>
      <c r="G594" s="179">
        <v>0</v>
      </c>
      <c r="H594" s="174"/>
    </row>
    <row r="595" spans="1:8" ht="15" hidden="1">
      <c r="A595" s="147"/>
      <c r="B595" s="118">
        <v>4</v>
      </c>
      <c r="C595" s="571" t="s">
        <v>346</v>
      </c>
      <c r="D595" s="572"/>
      <c r="E595" s="573"/>
      <c r="F595" s="173" t="s">
        <v>313</v>
      </c>
      <c r="G595" s="179">
        <v>0</v>
      </c>
      <c r="H595" s="174"/>
    </row>
    <row r="596" spans="1:8" ht="15" hidden="1">
      <c r="A596" s="147"/>
      <c r="B596" s="118">
        <v>8</v>
      </c>
      <c r="C596" s="571" t="s">
        <v>350</v>
      </c>
      <c r="D596" s="572"/>
      <c r="E596" s="573"/>
      <c r="F596" s="173" t="s">
        <v>313</v>
      </c>
      <c r="G596" s="179">
        <v>0</v>
      </c>
      <c r="H596" s="174"/>
    </row>
    <row r="597" spans="1:8" ht="15" hidden="1">
      <c r="A597" s="147"/>
      <c r="B597" s="118">
        <v>9</v>
      </c>
      <c r="C597" s="571" t="s">
        <v>351</v>
      </c>
      <c r="D597" s="572"/>
      <c r="E597" s="573"/>
      <c r="F597" s="173" t="s">
        <v>313</v>
      </c>
      <c r="G597" s="179">
        <v>0</v>
      </c>
      <c r="H597" s="174"/>
    </row>
    <row r="598" spans="1:8" ht="15" hidden="1">
      <c r="A598" s="147"/>
      <c r="B598" s="118">
        <v>12</v>
      </c>
      <c r="C598" s="571" t="s">
        <v>352</v>
      </c>
      <c r="D598" s="572"/>
      <c r="E598" s="573"/>
      <c r="F598" s="173" t="s">
        <v>313</v>
      </c>
      <c r="G598" s="179">
        <v>0</v>
      </c>
      <c r="H598" s="174"/>
    </row>
    <row r="599" spans="1:8" ht="15" hidden="1">
      <c r="A599" s="147"/>
      <c r="B599" s="574" t="s">
        <v>71</v>
      </c>
      <c r="C599" s="575"/>
      <c r="D599" s="575"/>
      <c r="E599" s="575"/>
      <c r="F599" s="576"/>
      <c r="G599" s="180">
        <f>SUM(G593:G598)</f>
        <v>0</v>
      </c>
      <c r="H599" s="163"/>
    </row>
    <row r="600" spans="1:8" ht="15">
      <c r="A600" s="147"/>
      <c r="B600" s="181"/>
      <c r="C600" s="182"/>
      <c r="D600" s="182"/>
      <c r="E600" s="182"/>
      <c r="F600" s="181"/>
      <c r="G600" s="183"/>
      <c r="H600" s="163"/>
    </row>
    <row r="601" spans="1:8" ht="15" hidden="1">
      <c r="A601" s="147"/>
      <c r="B601" s="561" t="s">
        <v>271</v>
      </c>
      <c r="C601" s="561"/>
      <c r="D601" s="561"/>
      <c r="E601" s="561"/>
      <c r="F601" s="561"/>
      <c r="G601" s="561"/>
      <c r="H601" s="163"/>
    </row>
    <row r="602" spans="1:8" ht="15" hidden="1">
      <c r="A602" s="147"/>
      <c r="B602" s="206"/>
      <c r="C602" s="206"/>
      <c r="D602" s="206"/>
      <c r="E602" s="206"/>
      <c r="F602" s="206"/>
      <c r="G602" s="206"/>
      <c r="H602" s="163"/>
    </row>
    <row r="603" spans="1:8" ht="30.75" hidden="1">
      <c r="A603" s="147"/>
      <c r="B603" s="50" t="s">
        <v>33</v>
      </c>
      <c r="C603" s="530" t="s">
        <v>40</v>
      </c>
      <c r="D603" s="530"/>
      <c r="E603" s="50" t="s">
        <v>54</v>
      </c>
      <c r="F603" s="50" t="s">
        <v>55</v>
      </c>
      <c r="G603" s="50" t="s">
        <v>47</v>
      </c>
      <c r="H603" s="163"/>
    </row>
    <row r="604" spans="1:8" ht="15" hidden="1">
      <c r="A604" s="147"/>
      <c r="B604" s="26">
        <v>1</v>
      </c>
      <c r="C604" s="615">
        <v>2</v>
      </c>
      <c r="D604" s="616"/>
      <c r="E604" s="26">
        <v>3</v>
      </c>
      <c r="F604" s="26">
        <v>4</v>
      </c>
      <c r="G604" s="50">
        <v>5</v>
      </c>
      <c r="H604" s="163"/>
    </row>
    <row r="605" spans="1:8" ht="15" hidden="1">
      <c r="A605" s="147"/>
      <c r="B605" s="26"/>
      <c r="C605" s="563"/>
      <c r="D605" s="564"/>
      <c r="E605" s="26"/>
      <c r="F605" s="26"/>
      <c r="G605" s="50"/>
      <c r="H605" s="163"/>
    </row>
    <row r="606" spans="1:8" ht="15" hidden="1">
      <c r="A606" s="147"/>
      <c r="B606" s="26"/>
      <c r="C606" s="569"/>
      <c r="D606" s="569"/>
      <c r="E606" s="173"/>
      <c r="F606" s="184"/>
      <c r="G606" s="184"/>
      <c r="H606" s="174"/>
    </row>
    <row r="607" spans="1:8" ht="15" hidden="1">
      <c r="A607" s="147"/>
      <c r="B607" s="574" t="s">
        <v>60</v>
      </c>
      <c r="C607" s="575"/>
      <c r="D607" s="575"/>
      <c r="E607" s="575"/>
      <c r="F607" s="576"/>
      <c r="G607" s="161">
        <f>SUM(G605)</f>
        <v>0</v>
      </c>
      <c r="H607" s="174"/>
    </row>
    <row r="608" spans="1:8" ht="15" hidden="1">
      <c r="A608" s="147"/>
      <c r="B608" s="181"/>
      <c r="C608" s="182"/>
      <c r="D608" s="182"/>
      <c r="E608" s="182"/>
      <c r="F608" s="181"/>
      <c r="G608" s="183"/>
      <c r="H608" s="174"/>
    </row>
    <row r="609" spans="1:8" ht="15" hidden="1">
      <c r="A609" s="147"/>
      <c r="B609" s="562" t="s">
        <v>272</v>
      </c>
      <c r="C609" s="562"/>
      <c r="D609" s="562"/>
      <c r="E609" s="562"/>
      <c r="F609" s="562"/>
      <c r="G609" s="562"/>
      <c r="H609" s="174"/>
    </row>
    <row r="610" spans="1:8" ht="15" hidden="1">
      <c r="A610" s="147"/>
      <c r="B610" s="181"/>
      <c r="C610" s="182"/>
      <c r="D610" s="182"/>
      <c r="E610" s="182"/>
      <c r="F610" s="181"/>
      <c r="G610" s="183"/>
      <c r="H610" s="174"/>
    </row>
    <row r="611" spans="1:8" ht="30.75" hidden="1">
      <c r="A611" s="147"/>
      <c r="B611" s="50" t="s">
        <v>33</v>
      </c>
      <c r="C611" s="533" t="s">
        <v>40</v>
      </c>
      <c r="D611" s="534"/>
      <c r="E611" s="535"/>
      <c r="F611" s="50" t="s">
        <v>52</v>
      </c>
      <c r="G611" s="50" t="s">
        <v>53</v>
      </c>
      <c r="H611" s="174"/>
    </row>
    <row r="612" spans="1:8" ht="15" hidden="1">
      <c r="A612" s="147"/>
      <c r="B612" s="118"/>
      <c r="C612" s="571"/>
      <c r="D612" s="617"/>
      <c r="E612" s="618"/>
      <c r="F612" s="173"/>
      <c r="G612" s="184"/>
      <c r="H612" s="174"/>
    </row>
    <row r="613" spans="1:8" ht="15" hidden="1">
      <c r="A613" s="147"/>
      <c r="B613" s="118"/>
      <c r="C613" s="571"/>
      <c r="D613" s="617"/>
      <c r="E613" s="618"/>
      <c r="F613" s="173"/>
      <c r="G613" s="184"/>
      <c r="H613" s="174"/>
    </row>
    <row r="614" spans="1:8" ht="15" hidden="1">
      <c r="A614" s="147"/>
      <c r="B614" s="574" t="s">
        <v>74</v>
      </c>
      <c r="C614" s="575"/>
      <c r="D614" s="575"/>
      <c r="E614" s="575"/>
      <c r="F614" s="576"/>
      <c r="G614" s="161">
        <f>SUM(G612:G613)</f>
        <v>0</v>
      </c>
      <c r="H614" s="174"/>
    </row>
    <row r="615" spans="1:8" ht="15" hidden="1">
      <c r="A615" s="147"/>
      <c r="B615" s="181"/>
      <c r="C615" s="182"/>
      <c r="D615" s="182"/>
      <c r="E615" s="182"/>
      <c r="F615" s="181"/>
      <c r="G615" s="183"/>
      <c r="H615" s="174"/>
    </row>
    <row r="616" spans="1:8" ht="15" hidden="1">
      <c r="A616" s="147"/>
      <c r="B616" s="559" t="s">
        <v>273</v>
      </c>
      <c r="C616" s="559"/>
      <c r="D616" s="559"/>
      <c r="E616" s="559"/>
      <c r="F616" s="559"/>
      <c r="G616" s="559"/>
      <c r="H616" s="163"/>
    </row>
    <row r="617" spans="1:8" ht="15" hidden="1">
      <c r="A617" s="147"/>
      <c r="B617" s="163"/>
      <c r="C617" s="163"/>
      <c r="D617" s="164"/>
      <c r="E617" s="163"/>
      <c r="F617" s="163"/>
      <c r="G617" s="163"/>
      <c r="H617" s="163"/>
    </row>
    <row r="618" spans="1:8" ht="30.75" hidden="1">
      <c r="A618" s="147"/>
      <c r="B618" s="50" t="s">
        <v>33</v>
      </c>
      <c r="C618" s="533" t="s">
        <v>40</v>
      </c>
      <c r="D618" s="535"/>
      <c r="E618" s="50" t="s">
        <v>54</v>
      </c>
      <c r="F618" s="50" t="s">
        <v>55</v>
      </c>
      <c r="G618" s="50" t="s">
        <v>47</v>
      </c>
      <c r="H618" s="163"/>
    </row>
    <row r="619" spans="1:8" ht="15" hidden="1">
      <c r="A619" s="147"/>
      <c r="B619" s="27">
        <v>1</v>
      </c>
      <c r="C619" s="619">
        <v>2</v>
      </c>
      <c r="D619" s="620"/>
      <c r="E619" s="173">
        <v>3</v>
      </c>
      <c r="F619" s="193">
        <v>4</v>
      </c>
      <c r="G619" s="30">
        <v>5</v>
      </c>
      <c r="H619" s="163"/>
    </row>
    <row r="620" spans="1:8" ht="15" hidden="1">
      <c r="A620" s="147"/>
      <c r="B620" s="27"/>
      <c r="C620" s="571"/>
      <c r="D620" s="573"/>
      <c r="E620" s="173"/>
      <c r="F620" s="193"/>
      <c r="G620" s="30"/>
      <c r="H620" s="163"/>
    </row>
    <row r="621" spans="1:8" ht="15" hidden="1">
      <c r="A621" s="147"/>
      <c r="B621" s="50"/>
      <c r="C621" s="569"/>
      <c r="D621" s="570"/>
      <c r="E621" s="173"/>
      <c r="F621" s="179"/>
      <c r="G621" s="123"/>
      <c r="H621" s="163"/>
    </row>
    <row r="622" spans="1:8" ht="15" hidden="1">
      <c r="A622" s="147"/>
      <c r="B622" s="574" t="s">
        <v>57</v>
      </c>
      <c r="C622" s="575"/>
      <c r="D622" s="575"/>
      <c r="E622" s="575"/>
      <c r="F622" s="576"/>
      <c r="G622" s="68">
        <f>G620+G621</f>
        <v>0</v>
      </c>
      <c r="H622" s="163"/>
    </row>
    <row r="623" spans="1:8" ht="15" hidden="1">
      <c r="A623" s="188"/>
      <c r="B623" s="176"/>
      <c r="C623" s="176"/>
      <c r="D623" s="176"/>
      <c r="E623" s="176"/>
      <c r="F623" s="189"/>
      <c r="G623" s="190"/>
      <c r="H623" s="191"/>
    </row>
    <row r="624" spans="1:8" ht="15" hidden="1">
      <c r="A624" s="147"/>
      <c r="B624" s="582" t="s">
        <v>274</v>
      </c>
      <c r="C624" s="582"/>
      <c r="D624" s="582"/>
      <c r="E624" s="582"/>
      <c r="F624" s="582"/>
      <c r="G624" s="582"/>
      <c r="H624" s="163"/>
    </row>
    <row r="625" spans="1:8" ht="15" hidden="1">
      <c r="A625" s="147"/>
      <c r="B625" s="163"/>
      <c r="C625" s="163"/>
      <c r="D625" s="164"/>
      <c r="E625" s="163"/>
      <c r="F625" s="163"/>
      <c r="G625" s="163"/>
      <c r="H625" s="163"/>
    </row>
    <row r="626" spans="1:8" ht="30.75" hidden="1">
      <c r="A626" s="147"/>
      <c r="B626" s="50" t="s">
        <v>33</v>
      </c>
      <c r="C626" s="533" t="s">
        <v>40</v>
      </c>
      <c r="D626" s="535"/>
      <c r="E626" s="50" t="s">
        <v>54</v>
      </c>
      <c r="F626" s="50" t="s">
        <v>55</v>
      </c>
      <c r="G626" s="50" t="s">
        <v>47</v>
      </c>
      <c r="H626" s="163"/>
    </row>
    <row r="627" spans="1:8" ht="15" hidden="1">
      <c r="A627" s="147"/>
      <c r="B627" s="194">
        <v>1</v>
      </c>
      <c r="C627" s="580">
        <v>2</v>
      </c>
      <c r="D627" s="581"/>
      <c r="E627" s="193">
        <v>3</v>
      </c>
      <c r="F627" s="193">
        <v>4</v>
      </c>
      <c r="G627" s="30">
        <v>5</v>
      </c>
      <c r="H627" s="163"/>
    </row>
    <row r="628" spans="1:8" ht="15" hidden="1">
      <c r="A628" s="147"/>
      <c r="B628" s="50"/>
      <c r="C628" s="569"/>
      <c r="D628" s="570"/>
      <c r="E628" s="173"/>
      <c r="F628" s="179"/>
      <c r="G628" s="123"/>
      <c r="H628" s="163"/>
    </row>
    <row r="629" spans="1:8" ht="15" hidden="1">
      <c r="A629" s="147"/>
      <c r="B629" s="574" t="s">
        <v>228</v>
      </c>
      <c r="C629" s="575"/>
      <c r="D629" s="575"/>
      <c r="E629" s="575"/>
      <c r="F629" s="576"/>
      <c r="G629" s="68">
        <f>SUM(G628:G628)</f>
        <v>0</v>
      </c>
      <c r="H629" s="163"/>
    </row>
    <row r="630" ht="15" hidden="1"/>
    <row r="631" spans="1:8" ht="15" hidden="1">
      <c r="A631" s="147"/>
      <c r="B631" s="559" t="s">
        <v>275</v>
      </c>
      <c r="C631" s="559"/>
      <c r="D631" s="559"/>
      <c r="E631" s="559"/>
      <c r="F631" s="559"/>
      <c r="G631" s="559"/>
      <c r="H631" s="163"/>
    </row>
    <row r="632" spans="1:8" ht="15" hidden="1">
      <c r="A632" s="147"/>
      <c r="B632" s="163"/>
      <c r="C632" s="163"/>
      <c r="D632" s="164"/>
      <c r="E632" s="163"/>
      <c r="F632" s="163"/>
      <c r="G632" s="163"/>
      <c r="H632" s="163"/>
    </row>
    <row r="633" spans="1:8" ht="30.75" hidden="1">
      <c r="A633" s="147"/>
      <c r="B633" s="50" t="s">
        <v>33</v>
      </c>
      <c r="C633" s="533" t="s">
        <v>40</v>
      </c>
      <c r="D633" s="535"/>
      <c r="E633" s="50" t="s">
        <v>54</v>
      </c>
      <c r="F633" s="50" t="s">
        <v>55</v>
      </c>
      <c r="G633" s="50" t="s">
        <v>47</v>
      </c>
      <c r="H633" s="163"/>
    </row>
    <row r="634" spans="1:8" ht="15" hidden="1">
      <c r="A634" s="147"/>
      <c r="B634" s="194">
        <v>1</v>
      </c>
      <c r="C634" s="580">
        <v>2</v>
      </c>
      <c r="D634" s="581"/>
      <c r="E634" s="193">
        <v>3</v>
      </c>
      <c r="F634" s="193">
        <v>4</v>
      </c>
      <c r="G634" s="30">
        <v>5</v>
      </c>
      <c r="H634" s="163"/>
    </row>
    <row r="635" spans="1:8" ht="15" hidden="1">
      <c r="A635" s="147"/>
      <c r="B635" s="27">
        <v>1</v>
      </c>
      <c r="C635" s="619" t="s">
        <v>359</v>
      </c>
      <c r="D635" s="627"/>
      <c r="E635" s="173">
        <v>10</v>
      </c>
      <c r="F635" s="179"/>
      <c r="G635" s="123">
        <v>0</v>
      </c>
      <c r="H635" s="163"/>
    </row>
    <row r="636" spans="1:8" ht="15" hidden="1">
      <c r="A636" s="147"/>
      <c r="B636" s="50"/>
      <c r="C636" s="569"/>
      <c r="D636" s="570"/>
      <c r="E636" s="173"/>
      <c r="F636" s="179"/>
      <c r="G636" s="123"/>
      <c r="H636" s="163"/>
    </row>
    <row r="637" spans="1:8" ht="15" hidden="1">
      <c r="A637" s="147"/>
      <c r="B637" s="574" t="s">
        <v>229</v>
      </c>
      <c r="C637" s="575"/>
      <c r="D637" s="575"/>
      <c r="E637" s="575"/>
      <c r="F637" s="576"/>
      <c r="G637" s="68">
        <f>G635</f>
        <v>0</v>
      </c>
      <c r="H637" s="163"/>
    </row>
    <row r="638" ht="15" hidden="1"/>
    <row r="639" spans="1:8" ht="15" hidden="1">
      <c r="A639" s="147"/>
      <c r="B639" s="559" t="s">
        <v>276</v>
      </c>
      <c r="C639" s="559"/>
      <c r="D639" s="559"/>
      <c r="E639" s="559"/>
      <c r="F639" s="559"/>
      <c r="G639" s="559"/>
      <c r="H639" s="163"/>
    </row>
    <row r="640" spans="1:8" ht="15" hidden="1">
      <c r="A640" s="147"/>
      <c r="B640" s="163"/>
      <c r="C640" s="163"/>
      <c r="D640" s="164"/>
      <c r="E640" s="163"/>
      <c r="F640" s="163"/>
      <c r="G640" s="163"/>
      <c r="H640" s="163"/>
    </row>
    <row r="641" spans="1:8" ht="30.75" hidden="1">
      <c r="A641" s="147"/>
      <c r="B641" s="50" t="s">
        <v>33</v>
      </c>
      <c r="C641" s="533" t="s">
        <v>40</v>
      </c>
      <c r="D641" s="535"/>
      <c r="E641" s="50" t="s">
        <v>54</v>
      </c>
      <c r="F641" s="50" t="s">
        <v>55</v>
      </c>
      <c r="G641" s="50" t="s">
        <v>47</v>
      </c>
      <c r="H641" s="163"/>
    </row>
    <row r="642" spans="1:8" ht="15" hidden="1">
      <c r="A642" s="147"/>
      <c r="B642" s="194">
        <v>1</v>
      </c>
      <c r="C642" s="580">
        <v>2</v>
      </c>
      <c r="D642" s="581"/>
      <c r="E642" s="193">
        <v>3</v>
      </c>
      <c r="F642" s="193">
        <v>4</v>
      </c>
      <c r="G642" s="30">
        <v>5</v>
      </c>
      <c r="H642" s="163"/>
    </row>
    <row r="643" spans="1:8" ht="15" hidden="1">
      <c r="A643" s="147"/>
      <c r="B643" s="27"/>
      <c r="C643" s="571"/>
      <c r="D643" s="573"/>
      <c r="E643" s="218"/>
      <c r="F643" s="179"/>
      <c r="G643" s="123"/>
      <c r="H643" s="163"/>
    </row>
    <row r="644" spans="1:8" ht="15" hidden="1">
      <c r="A644" s="147"/>
      <c r="B644" s="50"/>
      <c r="C644" s="569"/>
      <c r="D644" s="570"/>
      <c r="E644" s="173"/>
      <c r="F644" s="179"/>
      <c r="G644" s="123"/>
      <c r="H644" s="163"/>
    </row>
    <row r="645" spans="1:8" ht="15" hidden="1">
      <c r="A645" s="147"/>
      <c r="B645" s="574" t="s">
        <v>230</v>
      </c>
      <c r="C645" s="575"/>
      <c r="D645" s="575"/>
      <c r="E645" s="575"/>
      <c r="F645" s="576"/>
      <c r="G645" s="68">
        <f>G643+G644</f>
        <v>0</v>
      </c>
      <c r="H645" s="163"/>
    </row>
    <row r="646" ht="15" hidden="1"/>
    <row r="647" spans="1:8" ht="15" hidden="1">
      <c r="A647" s="147"/>
      <c r="B647" s="559" t="s">
        <v>277</v>
      </c>
      <c r="C647" s="559"/>
      <c r="D647" s="559"/>
      <c r="E647" s="559"/>
      <c r="F647" s="559"/>
      <c r="G647" s="559"/>
      <c r="H647" s="163"/>
    </row>
    <row r="648" spans="1:8" ht="15" hidden="1">
      <c r="A648" s="147"/>
      <c r="B648" s="163"/>
      <c r="C648" s="163"/>
      <c r="D648" s="164"/>
      <c r="E648" s="163"/>
      <c r="F648" s="163"/>
      <c r="G648" s="163"/>
      <c r="H648" s="163"/>
    </row>
    <row r="649" spans="1:8" ht="30.75" hidden="1">
      <c r="A649" s="147"/>
      <c r="B649" s="50" t="s">
        <v>33</v>
      </c>
      <c r="C649" s="533" t="s">
        <v>40</v>
      </c>
      <c r="D649" s="535"/>
      <c r="E649" s="50" t="s">
        <v>54</v>
      </c>
      <c r="F649" s="50" t="s">
        <v>55</v>
      </c>
      <c r="G649" s="50" t="s">
        <v>47</v>
      </c>
      <c r="H649" s="163"/>
    </row>
    <row r="650" spans="1:8" ht="15" hidden="1">
      <c r="A650" s="147"/>
      <c r="B650" s="194">
        <v>1</v>
      </c>
      <c r="C650" s="580">
        <v>2</v>
      </c>
      <c r="D650" s="581"/>
      <c r="E650" s="193">
        <v>3</v>
      </c>
      <c r="F650" s="193">
        <v>4</v>
      </c>
      <c r="G650" s="30">
        <v>5</v>
      </c>
      <c r="H650" s="163"/>
    </row>
    <row r="651" spans="1:8" ht="15" hidden="1">
      <c r="A651" s="147"/>
      <c r="B651" s="194"/>
      <c r="C651" s="580"/>
      <c r="D651" s="583"/>
      <c r="E651" s="193"/>
      <c r="F651" s="193"/>
      <c r="G651" s="170"/>
      <c r="H651" s="163"/>
    </row>
    <row r="652" spans="1:8" ht="15" hidden="1">
      <c r="A652" s="147"/>
      <c r="B652" s="50"/>
      <c r="C652" s="569"/>
      <c r="D652" s="570"/>
      <c r="E652" s="173"/>
      <c r="F652" s="179"/>
      <c r="G652" s="123"/>
      <c r="H652" s="163"/>
    </row>
    <row r="653" spans="1:8" ht="15" hidden="1">
      <c r="A653" s="147"/>
      <c r="B653" s="574" t="s">
        <v>231</v>
      </c>
      <c r="C653" s="575"/>
      <c r="D653" s="575"/>
      <c r="E653" s="575"/>
      <c r="F653" s="576"/>
      <c r="G653" s="68">
        <f>G651</f>
        <v>0</v>
      </c>
      <c r="H653" s="163"/>
    </row>
    <row r="654" ht="15" hidden="1"/>
    <row r="655" spans="1:8" ht="15" hidden="1">
      <c r="A655" s="147"/>
      <c r="B655" s="559" t="s">
        <v>278</v>
      </c>
      <c r="C655" s="559"/>
      <c r="D655" s="559"/>
      <c r="E655" s="559"/>
      <c r="F655" s="559"/>
      <c r="G655" s="559"/>
      <c r="H655" s="163"/>
    </row>
    <row r="656" spans="1:8" ht="15" hidden="1">
      <c r="A656" s="147"/>
      <c r="B656" s="163"/>
      <c r="C656" s="163"/>
      <c r="D656" s="164"/>
      <c r="E656" s="163"/>
      <c r="F656" s="163"/>
      <c r="G656" s="163"/>
      <c r="H656" s="163"/>
    </row>
    <row r="657" spans="1:8" ht="30.75" hidden="1">
      <c r="A657" s="147"/>
      <c r="B657" s="50" t="s">
        <v>33</v>
      </c>
      <c r="C657" s="533" t="s">
        <v>40</v>
      </c>
      <c r="D657" s="535"/>
      <c r="E657" s="50" t="s">
        <v>54</v>
      </c>
      <c r="F657" s="50" t="s">
        <v>55</v>
      </c>
      <c r="G657" s="50" t="s">
        <v>47</v>
      </c>
      <c r="H657" s="163"/>
    </row>
    <row r="658" spans="1:8" ht="15" hidden="1">
      <c r="A658" s="147"/>
      <c r="B658" s="194">
        <v>1</v>
      </c>
      <c r="C658" s="580">
        <v>2</v>
      </c>
      <c r="D658" s="581"/>
      <c r="E658" s="193">
        <v>3</v>
      </c>
      <c r="F658" s="193">
        <v>4</v>
      </c>
      <c r="G658" s="30">
        <v>5</v>
      </c>
      <c r="H658" s="163"/>
    </row>
    <row r="659" spans="1:8" ht="15" hidden="1">
      <c r="A659" s="147"/>
      <c r="B659" s="194"/>
      <c r="C659" s="580"/>
      <c r="D659" s="583"/>
      <c r="E659" s="193"/>
      <c r="F659" s="193"/>
      <c r="G659" s="30"/>
      <c r="H659" s="163"/>
    </row>
    <row r="660" spans="1:8" ht="15" hidden="1">
      <c r="A660" s="147"/>
      <c r="B660" s="50"/>
      <c r="C660" s="569"/>
      <c r="D660" s="570"/>
      <c r="E660" s="173"/>
      <c r="F660" s="179"/>
      <c r="G660" s="123"/>
      <c r="H660" s="163"/>
    </row>
    <row r="661" spans="1:8" ht="15" hidden="1">
      <c r="A661" s="147"/>
      <c r="B661" s="574" t="s">
        <v>59</v>
      </c>
      <c r="C661" s="575"/>
      <c r="D661" s="575"/>
      <c r="E661" s="575"/>
      <c r="F661" s="576"/>
      <c r="G661" s="68">
        <v>0</v>
      </c>
      <c r="H661" s="163"/>
    </row>
    <row r="662" ht="15" hidden="1"/>
    <row r="663" spans="1:8" ht="15" hidden="1">
      <c r="A663" s="147"/>
      <c r="B663" s="559" t="s">
        <v>279</v>
      </c>
      <c r="C663" s="559"/>
      <c r="D663" s="559"/>
      <c r="E663" s="559"/>
      <c r="F663" s="559"/>
      <c r="G663" s="559"/>
      <c r="H663" s="163"/>
    </row>
    <row r="664" spans="1:8" ht="15" hidden="1">
      <c r="A664" s="147"/>
      <c r="B664" s="163"/>
      <c r="C664" s="163"/>
      <c r="D664" s="164"/>
      <c r="E664" s="163"/>
      <c r="F664" s="163"/>
      <c r="G664" s="163"/>
      <c r="H664" s="163"/>
    </row>
    <row r="665" spans="1:8" ht="30.75" hidden="1">
      <c r="A665" s="147"/>
      <c r="B665" s="50" t="s">
        <v>33</v>
      </c>
      <c r="C665" s="533" t="s">
        <v>40</v>
      </c>
      <c r="D665" s="535"/>
      <c r="E665" s="50" t="s">
        <v>54</v>
      </c>
      <c r="F665" s="50" t="s">
        <v>55</v>
      </c>
      <c r="G665" s="50" t="s">
        <v>47</v>
      </c>
      <c r="H665" s="163"/>
    </row>
    <row r="666" spans="1:8" ht="15" hidden="1">
      <c r="A666" s="147"/>
      <c r="B666" s="194">
        <v>1</v>
      </c>
      <c r="C666" s="580">
        <v>2</v>
      </c>
      <c r="D666" s="581"/>
      <c r="E666" s="193">
        <v>3</v>
      </c>
      <c r="F666" s="193">
        <v>4</v>
      </c>
      <c r="G666" s="30">
        <v>5</v>
      </c>
      <c r="H666" s="163"/>
    </row>
    <row r="667" spans="1:8" ht="15" hidden="1">
      <c r="A667" s="147"/>
      <c r="B667" s="194"/>
      <c r="C667" s="557"/>
      <c r="D667" s="558"/>
      <c r="E667" s="193"/>
      <c r="F667" s="193"/>
      <c r="G667" s="170"/>
      <c r="H667" s="163"/>
    </row>
    <row r="668" spans="1:8" ht="15" hidden="1">
      <c r="A668" s="147"/>
      <c r="B668" s="50"/>
      <c r="C668" s="569"/>
      <c r="D668" s="570"/>
      <c r="E668" s="173"/>
      <c r="F668" s="184"/>
      <c r="G668" s="187"/>
      <c r="H668" s="163"/>
    </row>
    <row r="669" spans="1:8" ht="15" hidden="1">
      <c r="A669" s="147"/>
      <c r="B669" s="574" t="s">
        <v>56</v>
      </c>
      <c r="C669" s="575"/>
      <c r="D669" s="575"/>
      <c r="E669" s="575"/>
      <c r="F669" s="576"/>
      <c r="G669" s="68">
        <f>SUM(G667:G668)</f>
        <v>0</v>
      </c>
      <c r="H669" s="163"/>
    </row>
    <row r="670" ht="15" hidden="1"/>
    <row r="671" spans="2:7" ht="15" hidden="1">
      <c r="B671" s="582" t="s">
        <v>280</v>
      </c>
      <c r="C671" s="582"/>
      <c r="D671" s="582"/>
      <c r="E671" s="582"/>
      <c r="F671" s="582"/>
      <c r="G671" s="582"/>
    </row>
    <row r="672" spans="2:7" ht="15" hidden="1">
      <c r="B672" s="163"/>
      <c r="C672" s="163"/>
      <c r="D672" s="164"/>
      <c r="E672" s="163"/>
      <c r="F672" s="163"/>
      <c r="G672" s="163"/>
    </row>
    <row r="673" spans="2:7" ht="30.75" hidden="1">
      <c r="B673" s="50" t="s">
        <v>33</v>
      </c>
      <c r="C673" s="533" t="s">
        <v>40</v>
      </c>
      <c r="D673" s="535"/>
      <c r="E673" s="50" t="s">
        <v>50</v>
      </c>
      <c r="F673" s="50" t="s">
        <v>51</v>
      </c>
      <c r="G673" s="50" t="s">
        <v>47</v>
      </c>
    </row>
    <row r="674" spans="2:7" ht="15" hidden="1">
      <c r="B674" s="194">
        <v>1</v>
      </c>
      <c r="C674" s="580">
        <v>2</v>
      </c>
      <c r="D674" s="581"/>
      <c r="E674" s="193">
        <v>3</v>
      </c>
      <c r="F674" s="193">
        <v>4</v>
      </c>
      <c r="G674" s="30">
        <v>5</v>
      </c>
    </row>
    <row r="675" spans="2:7" ht="15" hidden="1">
      <c r="B675" s="194"/>
      <c r="C675" s="580"/>
      <c r="D675" s="583"/>
      <c r="E675" s="193"/>
      <c r="F675" s="193"/>
      <c r="G675" s="30"/>
    </row>
    <row r="676" spans="1:8" ht="15" hidden="1">
      <c r="A676" s="6"/>
      <c r="B676" s="50"/>
      <c r="C676" s="569"/>
      <c r="D676" s="570"/>
      <c r="E676" s="173"/>
      <c r="F676" s="179"/>
      <c r="G676" s="123"/>
      <c r="H676" s="6"/>
    </row>
    <row r="677" spans="1:8" ht="15" hidden="1">
      <c r="A677" s="6"/>
      <c r="B677" s="574" t="s">
        <v>232</v>
      </c>
      <c r="C677" s="575"/>
      <c r="D677" s="575"/>
      <c r="E677" s="575"/>
      <c r="F677" s="576"/>
      <c r="G677" s="68">
        <v>0</v>
      </c>
      <c r="H677" s="6"/>
    </row>
    <row r="678" spans="1:8" ht="15" hidden="1">
      <c r="A678" s="6"/>
      <c r="H678" s="6"/>
    </row>
    <row r="679" spans="1:8" ht="15" hidden="1">
      <c r="A679" s="6"/>
      <c r="B679" s="582" t="s">
        <v>281</v>
      </c>
      <c r="C679" s="582"/>
      <c r="D679" s="582"/>
      <c r="E679" s="582"/>
      <c r="F679" s="582"/>
      <c r="G679" s="582"/>
      <c r="H679" s="6"/>
    </row>
    <row r="680" spans="1:8" ht="15" hidden="1">
      <c r="A680" s="6"/>
      <c r="B680" s="163"/>
      <c r="C680" s="163"/>
      <c r="D680" s="164"/>
      <c r="E680" s="163"/>
      <c r="F680" s="163"/>
      <c r="G680" s="163"/>
      <c r="H680" s="6"/>
    </row>
    <row r="681" spans="1:8" ht="30.75" hidden="1">
      <c r="A681" s="6"/>
      <c r="B681" s="50" t="s">
        <v>33</v>
      </c>
      <c r="C681" s="533" t="s">
        <v>40</v>
      </c>
      <c r="D681" s="535"/>
      <c r="E681" s="50" t="s">
        <v>54</v>
      </c>
      <c r="F681" s="50" t="s">
        <v>55</v>
      </c>
      <c r="G681" s="50" t="s">
        <v>47</v>
      </c>
      <c r="H681" s="6"/>
    </row>
    <row r="682" spans="1:8" ht="15" hidden="1">
      <c r="A682" s="6"/>
      <c r="B682" s="194">
        <v>1</v>
      </c>
      <c r="C682" s="580">
        <v>2</v>
      </c>
      <c r="D682" s="581"/>
      <c r="E682" s="193">
        <v>3</v>
      </c>
      <c r="F682" s="193">
        <v>4</v>
      </c>
      <c r="G682" s="30">
        <v>5</v>
      </c>
      <c r="H682" s="6"/>
    </row>
    <row r="683" spans="1:8" ht="15" hidden="1">
      <c r="A683" s="6"/>
      <c r="B683" s="194" t="s">
        <v>316</v>
      </c>
      <c r="C683" s="580" t="s">
        <v>360</v>
      </c>
      <c r="D683" s="583"/>
      <c r="E683" s="193" t="s">
        <v>361</v>
      </c>
      <c r="F683" s="193" t="s">
        <v>362</v>
      </c>
      <c r="G683" s="170">
        <v>0</v>
      </c>
      <c r="H683" s="6"/>
    </row>
    <row r="684" spans="1:8" ht="15" hidden="1">
      <c r="A684" s="6"/>
      <c r="B684" s="50"/>
      <c r="C684" s="569"/>
      <c r="D684" s="570"/>
      <c r="E684" s="173"/>
      <c r="F684" s="179"/>
      <c r="G684" s="169"/>
      <c r="H684" s="6"/>
    </row>
    <row r="685" spans="1:8" ht="15" hidden="1">
      <c r="A685" s="6"/>
      <c r="B685" s="574" t="s">
        <v>58</v>
      </c>
      <c r="C685" s="575"/>
      <c r="D685" s="575"/>
      <c r="E685" s="575"/>
      <c r="F685" s="576"/>
      <c r="G685" s="221">
        <f>G683</f>
        <v>0</v>
      </c>
      <c r="H685" s="6"/>
    </row>
    <row r="686" spans="1:8" ht="15" hidden="1">
      <c r="A686" s="6"/>
      <c r="H686" s="6"/>
    </row>
    <row r="687" spans="1:8" ht="15" hidden="1">
      <c r="A687" s="6"/>
      <c r="B687" s="626" t="s">
        <v>282</v>
      </c>
      <c r="C687" s="626"/>
      <c r="D687" s="626"/>
      <c r="E687" s="626"/>
      <c r="F687" s="626"/>
      <c r="G687" s="626"/>
      <c r="H687" s="6"/>
    </row>
    <row r="688" spans="1:8" ht="15" hidden="1">
      <c r="A688" s="6"/>
      <c r="H688" s="6"/>
    </row>
  </sheetData>
  <sheetProtection/>
  <mergeCells count="503">
    <mergeCell ref="C173:D173"/>
    <mergeCell ref="C153:D153"/>
    <mergeCell ref="C130:D130"/>
    <mergeCell ref="C144:D144"/>
    <mergeCell ref="C132:D132"/>
    <mergeCell ref="C128:D128"/>
    <mergeCell ref="C131:D131"/>
    <mergeCell ref="C133:D133"/>
    <mergeCell ref="C151:D151"/>
    <mergeCell ref="B169:F169"/>
    <mergeCell ref="C168:D168"/>
    <mergeCell ref="B147:F147"/>
    <mergeCell ref="C154:D154"/>
    <mergeCell ref="B171:G171"/>
    <mergeCell ref="B647:G647"/>
    <mergeCell ref="B671:G671"/>
    <mergeCell ref="B655:G655"/>
    <mergeCell ref="C657:D657"/>
    <mergeCell ref="C658:D658"/>
    <mergeCell ref="C659:D659"/>
    <mergeCell ref="B663:G663"/>
    <mergeCell ref="B677:F677"/>
    <mergeCell ref="C673:D673"/>
    <mergeCell ref="C674:D674"/>
    <mergeCell ref="C675:D675"/>
    <mergeCell ref="C676:D676"/>
    <mergeCell ref="C666:D666"/>
    <mergeCell ref="C667:D667"/>
    <mergeCell ref="B687:G687"/>
    <mergeCell ref="B679:G679"/>
    <mergeCell ref="C681:D681"/>
    <mergeCell ref="C682:D682"/>
    <mergeCell ref="C683:D683"/>
    <mergeCell ref="C684:D684"/>
    <mergeCell ref="B685:F685"/>
    <mergeCell ref="C649:D649"/>
    <mergeCell ref="C650:D650"/>
    <mergeCell ref="C651:D651"/>
    <mergeCell ref="C668:D668"/>
    <mergeCell ref="B669:F669"/>
    <mergeCell ref="C665:D665"/>
    <mergeCell ref="C652:D652"/>
    <mergeCell ref="B653:F653"/>
    <mergeCell ref="B661:F661"/>
    <mergeCell ref="C660:D660"/>
    <mergeCell ref="B639:G639"/>
    <mergeCell ref="C641:D641"/>
    <mergeCell ref="C642:D642"/>
    <mergeCell ref="C643:D643"/>
    <mergeCell ref="C644:D644"/>
    <mergeCell ref="B645:F645"/>
    <mergeCell ref="B631:G631"/>
    <mergeCell ref="C633:D633"/>
    <mergeCell ref="C634:D634"/>
    <mergeCell ref="C635:D635"/>
    <mergeCell ref="C636:D636"/>
    <mergeCell ref="B637:F637"/>
    <mergeCell ref="B622:F622"/>
    <mergeCell ref="B624:G624"/>
    <mergeCell ref="C626:D626"/>
    <mergeCell ref="C627:D627"/>
    <mergeCell ref="C628:D628"/>
    <mergeCell ref="B629:F629"/>
    <mergeCell ref="B614:F614"/>
    <mergeCell ref="B616:G616"/>
    <mergeCell ref="C618:D618"/>
    <mergeCell ref="C619:D619"/>
    <mergeCell ref="C620:D620"/>
    <mergeCell ref="C621:D621"/>
    <mergeCell ref="C606:D606"/>
    <mergeCell ref="B607:F607"/>
    <mergeCell ref="B609:G609"/>
    <mergeCell ref="C611:E611"/>
    <mergeCell ref="C612:E612"/>
    <mergeCell ref="C613:E613"/>
    <mergeCell ref="C598:E598"/>
    <mergeCell ref="B599:F599"/>
    <mergeCell ref="B601:G601"/>
    <mergeCell ref="C603:D603"/>
    <mergeCell ref="C604:D604"/>
    <mergeCell ref="C605:D605"/>
    <mergeCell ref="C592:E592"/>
    <mergeCell ref="C593:E593"/>
    <mergeCell ref="C594:E594"/>
    <mergeCell ref="C595:E595"/>
    <mergeCell ref="C596:E596"/>
    <mergeCell ref="C597:E597"/>
    <mergeCell ref="B568:G568"/>
    <mergeCell ref="B574:E574"/>
    <mergeCell ref="B576:G576"/>
    <mergeCell ref="B587:E587"/>
    <mergeCell ref="B589:G589"/>
    <mergeCell ref="C591:E591"/>
    <mergeCell ref="B566:G566"/>
    <mergeCell ref="B552:G552"/>
    <mergeCell ref="C554:D554"/>
    <mergeCell ref="C555:D555"/>
    <mergeCell ref="C556:D556"/>
    <mergeCell ref="B557:F557"/>
    <mergeCell ref="C536:D536"/>
    <mergeCell ref="B550:F550"/>
    <mergeCell ref="C561:D561"/>
    <mergeCell ref="C562:D562"/>
    <mergeCell ref="C563:D563"/>
    <mergeCell ref="B564:F564"/>
    <mergeCell ref="B559:G559"/>
    <mergeCell ref="C537:D537"/>
    <mergeCell ref="C538:D538"/>
    <mergeCell ref="B539:F539"/>
    <mergeCell ref="B541:G541"/>
    <mergeCell ref="C544:D544"/>
    <mergeCell ref="C542:D542"/>
    <mergeCell ref="B545:F545"/>
    <mergeCell ref="E452:F452"/>
    <mergeCell ref="B453:F453"/>
    <mergeCell ref="C480:E480"/>
    <mergeCell ref="B481:F481"/>
    <mergeCell ref="B482:G482"/>
    <mergeCell ref="C477:E477"/>
    <mergeCell ref="C478:E478"/>
    <mergeCell ref="C479:E479"/>
    <mergeCell ref="B473:E473"/>
    <mergeCell ref="B474:G474"/>
    <mergeCell ref="B426:E426"/>
    <mergeCell ref="E449:F449"/>
    <mergeCell ref="E450:F450"/>
    <mergeCell ref="E451:F451"/>
    <mergeCell ref="B439:G439"/>
    <mergeCell ref="B435:D435"/>
    <mergeCell ref="B447:G447"/>
    <mergeCell ref="B410:D410"/>
    <mergeCell ref="C417:E417"/>
    <mergeCell ref="C418:E418"/>
    <mergeCell ref="C423:E423"/>
    <mergeCell ref="C424:E424"/>
    <mergeCell ref="C425:E425"/>
    <mergeCell ref="B429:G429"/>
    <mergeCell ref="B437:G437"/>
    <mergeCell ref="B440:G440"/>
    <mergeCell ref="C530:D530"/>
    <mergeCell ref="C531:D531"/>
    <mergeCell ref="B532:F532"/>
    <mergeCell ref="B534:G534"/>
    <mergeCell ref="C522:D522"/>
    <mergeCell ref="C529:D529"/>
    <mergeCell ref="C523:D523"/>
    <mergeCell ref="C524:D524"/>
    <mergeCell ref="B525:F525"/>
    <mergeCell ref="B497:G497"/>
    <mergeCell ref="B527:G527"/>
    <mergeCell ref="C514:D514"/>
    <mergeCell ref="C515:D515"/>
    <mergeCell ref="C521:D521"/>
    <mergeCell ref="C516:D516"/>
    <mergeCell ref="B517:F517"/>
    <mergeCell ref="B519:G519"/>
    <mergeCell ref="C498:D498"/>
    <mergeCell ref="C502:D502"/>
    <mergeCell ref="C507:D507"/>
    <mergeCell ref="C508:D508"/>
    <mergeCell ref="C509:D509"/>
    <mergeCell ref="B510:F510"/>
    <mergeCell ref="B512:G512"/>
    <mergeCell ref="C500:D500"/>
    <mergeCell ref="C501:D501"/>
    <mergeCell ref="C503:D503"/>
    <mergeCell ref="B504:F504"/>
    <mergeCell ref="B505:G505"/>
    <mergeCell ref="C492:E492"/>
    <mergeCell ref="C493:E493"/>
    <mergeCell ref="C494:E494"/>
    <mergeCell ref="B495:F495"/>
    <mergeCell ref="C484:D484"/>
    <mergeCell ref="C485:D485"/>
    <mergeCell ref="C486:D486"/>
    <mergeCell ref="C487:D487"/>
    <mergeCell ref="B488:F488"/>
    <mergeCell ref="B490:G490"/>
    <mergeCell ref="C419:E419"/>
    <mergeCell ref="C420:E420"/>
    <mergeCell ref="C421:E421"/>
    <mergeCell ref="C422:E422"/>
    <mergeCell ref="C475:E475"/>
    <mergeCell ref="B467:E467"/>
    <mergeCell ref="B469:G469"/>
    <mergeCell ref="B455:G455"/>
    <mergeCell ref="B460:F460"/>
    <mergeCell ref="B462:G462"/>
    <mergeCell ref="D397:E397"/>
    <mergeCell ref="F397:G397"/>
    <mergeCell ref="B402:H402"/>
    <mergeCell ref="B403:H403"/>
    <mergeCell ref="B445:F445"/>
    <mergeCell ref="C406:D406"/>
    <mergeCell ref="C431:D431"/>
    <mergeCell ref="C432:D432"/>
    <mergeCell ref="C433:D433"/>
    <mergeCell ref="C434:D434"/>
    <mergeCell ref="B395:H395"/>
    <mergeCell ref="H397:H398"/>
    <mergeCell ref="B401:G401"/>
    <mergeCell ref="B392:H392"/>
    <mergeCell ref="B427:G427"/>
    <mergeCell ref="B412:H412"/>
    <mergeCell ref="C416:E416"/>
    <mergeCell ref="C407:D407"/>
    <mergeCell ref="B396:H396"/>
    <mergeCell ref="B397:C397"/>
    <mergeCell ref="C414:E414"/>
    <mergeCell ref="C408:D408"/>
    <mergeCell ref="C409:D409"/>
    <mergeCell ref="B363:G363"/>
    <mergeCell ref="C364:D364"/>
    <mergeCell ref="C366:D366"/>
    <mergeCell ref="B367:F367"/>
    <mergeCell ref="B374:G374"/>
    <mergeCell ref="B404:G404"/>
    <mergeCell ref="B394:H394"/>
    <mergeCell ref="C369:D369"/>
    <mergeCell ref="C371:D371"/>
    <mergeCell ref="C372:D372"/>
    <mergeCell ref="B373:F373"/>
    <mergeCell ref="B368:H368"/>
    <mergeCell ref="B354:F354"/>
    <mergeCell ref="B356:G356"/>
    <mergeCell ref="C358:D358"/>
    <mergeCell ref="C359:D359"/>
    <mergeCell ref="C360:D360"/>
    <mergeCell ref="B361:F361"/>
    <mergeCell ref="C346:D346"/>
    <mergeCell ref="B347:F347"/>
    <mergeCell ref="B349:G349"/>
    <mergeCell ref="C351:D351"/>
    <mergeCell ref="C352:D352"/>
    <mergeCell ref="C353:D353"/>
    <mergeCell ref="C338:D338"/>
    <mergeCell ref="B339:F339"/>
    <mergeCell ref="B341:G341"/>
    <mergeCell ref="C343:D343"/>
    <mergeCell ref="C344:D344"/>
    <mergeCell ref="C345:D345"/>
    <mergeCell ref="C330:D330"/>
    <mergeCell ref="C331:D331"/>
    <mergeCell ref="B332:F332"/>
    <mergeCell ref="B334:G334"/>
    <mergeCell ref="C336:D336"/>
    <mergeCell ref="C337:D337"/>
    <mergeCell ref="C323:D323"/>
    <mergeCell ref="C324:D324"/>
    <mergeCell ref="C325:D325"/>
    <mergeCell ref="B326:F326"/>
    <mergeCell ref="B327:G327"/>
    <mergeCell ref="C329:D329"/>
    <mergeCell ref="C316:E316"/>
    <mergeCell ref="B317:F317"/>
    <mergeCell ref="B319:G319"/>
    <mergeCell ref="C320:D320"/>
    <mergeCell ref="C322:D322"/>
    <mergeCell ref="C308:D308"/>
    <mergeCell ref="C309:D309"/>
    <mergeCell ref="B310:F310"/>
    <mergeCell ref="B312:G312"/>
    <mergeCell ref="C314:E314"/>
    <mergeCell ref="C315:E315"/>
    <mergeCell ref="C301:E301"/>
    <mergeCell ref="C302:E302"/>
    <mergeCell ref="B303:F303"/>
    <mergeCell ref="B304:G304"/>
    <mergeCell ref="C306:D306"/>
    <mergeCell ref="C307:D307"/>
    <mergeCell ref="B295:E295"/>
    <mergeCell ref="B296:G296"/>
    <mergeCell ref="C297:E297"/>
    <mergeCell ref="C299:E299"/>
    <mergeCell ref="C300:E300"/>
    <mergeCell ref="B275:F275"/>
    <mergeCell ref="B277:G277"/>
    <mergeCell ref="B282:F282"/>
    <mergeCell ref="B284:G284"/>
    <mergeCell ref="B289:E289"/>
    <mergeCell ref="B291:G291"/>
    <mergeCell ref="B267:F267"/>
    <mergeCell ref="B269:G269"/>
    <mergeCell ref="E271:F271"/>
    <mergeCell ref="E272:F272"/>
    <mergeCell ref="E273:F273"/>
    <mergeCell ref="E274:F274"/>
    <mergeCell ref="C255:D255"/>
    <mergeCell ref="C256:D256"/>
    <mergeCell ref="B257:D257"/>
    <mergeCell ref="B259:G259"/>
    <mergeCell ref="B261:G261"/>
    <mergeCell ref="B262:G262"/>
    <mergeCell ref="C247:E247"/>
    <mergeCell ref="B248:E248"/>
    <mergeCell ref="B249:G249"/>
    <mergeCell ref="B251:G251"/>
    <mergeCell ref="C253:D253"/>
    <mergeCell ref="C254:D254"/>
    <mergeCell ref="C241:E241"/>
    <mergeCell ref="C242:E242"/>
    <mergeCell ref="C243:E243"/>
    <mergeCell ref="C244:E244"/>
    <mergeCell ref="C245:E245"/>
    <mergeCell ref="C246:E246"/>
    <mergeCell ref="C238:E238"/>
    <mergeCell ref="C239:E239"/>
    <mergeCell ref="C240:E240"/>
    <mergeCell ref="C228:D228"/>
    <mergeCell ref="C229:D229"/>
    <mergeCell ref="C230:D230"/>
    <mergeCell ref="C231:D231"/>
    <mergeCell ref="B232:D232"/>
    <mergeCell ref="B217:H217"/>
    <mergeCell ref="B218:C218"/>
    <mergeCell ref="D218:E218"/>
    <mergeCell ref="F218:G218"/>
    <mergeCell ref="C235:E235"/>
    <mergeCell ref="C237:E237"/>
    <mergeCell ref="B209:G209"/>
    <mergeCell ref="B212:H212"/>
    <mergeCell ref="B213:H213"/>
    <mergeCell ref="B211:H211"/>
    <mergeCell ref="B234:G234"/>
    <mergeCell ref="B222:G222"/>
    <mergeCell ref="B223:H223"/>
    <mergeCell ref="B224:H224"/>
    <mergeCell ref="B226:G226"/>
    <mergeCell ref="B216:H216"/>
    <mergeCell ref="C199:D199"/>
    <mergeCell ref="C191:D191"/>
    <mergeCell ref="C189:D189"/>
    <mergeCell ref="B193:F193"/>
    <mergeCell ref="B188:G188"/>
    <mergeCell ref="H218:H219"/>
    <mergeCell ref="B214:H214"/>
    <mergeCell ref="B215:H215"/>
    <mergeCell ref="C206:D206"/>
    <mergeCell ref="B207:F207"/>
    <mergeCell ref="C122:D122"/>
    <mergeCell ref="C112:E112"/>
    <mergeCell ref="C113:E113"/>
    <mergeCell ref="B114:F114"/>
    <mergeCell ref="B116:G116"/>
    <mergeCell ref="C117:D117"/>
    <mergeCell ref="C118:D118"/>
    <mergeCell ref="C121:D121"/>
    <mergeCell ref="C120:D120"/>
    <mergeCell ref="C104:D104"/>
    <mergeCell ref="C105:D105"/>
    <mergeCell ref="C106:D106"/>
    <mergeCell ref="B107:F107"/>
    <mergeCell ref="B109:G109"/>
    <mergeCell ref="C111:E111"/>
    <mergeCell ref="B101:G101"/>
    <mergeCell ref="C103:D103"/>
    <mergeCell ref="C94:E94"/>
    <mergeCell ref="C96:E96"/>
    <mergeCell ref="C97:E97"/>
    <mergeCell ref="C98:E98"/>
    <mergeCell ref="B85:E85"/>
    <mergeCell ref="B87:G87"/>
    <mergeCell ref="B92:E92"/>
    <mergeCell ref="B93:G93"/>
    <mergeCell ref="B100:F100"/>
    <mergeCell ref="C99:E99"/>
    <mergeCell ref="C95:E95"/>
    <mergeCell ref="E69:F69"/>
    <mergeCell ref="E70:F70"/>
    <mergeCell ref="B71:F71"/>
    <mergeCell ref="B73:G73"/>
    <mergeCell ref="B78:F78"/>
    <mergeCell ref="B80:G80"/>
    <mergeCell ref="B57:G57"/>
    <mergeCell ref="B58:G58"/>
    <mergeCell ref="B63:F63"/>
    <mergeCell ref="B65:G65"/>
    <mergeCell ref="E67:F67"/>
    <mergeCell ref="E68:F68"/>
    <mergeCell ref="C49:D49"/>
    <mergeCell ref="C50:D50"/>
    <mergeCell ref="C51:D51"/>
    <mergeCell ref="C52:D52"/>
    <mergeCell ref="B53:D53"/>
    <mergeCell ref="B55:G55"/>
    <mergeCell ref="C39:E39"/>
    <mergeCell ref="C37:E37"/>
    <mergeCell ref="C38:E38"/>
    <mergeCell ref="B42:E42"/>
    <mergeCell ref="B45:G45"/>
    <mergeCell ref="B47:G47"/>
    <mergeCell ref="C29:E29"/>
    <mergeCell ref="B18:G18"/>
    <mergeCell ref="B19:H19"/>
    <mergeCell ref="B20:H20"/>
    <mergeCell ref="B21:G21"/>
    <mergeCell ref="C23:D23"/>
    <mergeCell ref="B12:H12"/>
    <mergeCell ref="B13:C13"/>
    <mergeCell ref="F13:G13"/>
    <mergeCell ref="D13:E13"/>
    <mergeCell ref="B27:G27"/>
    <mergeCell ref="C28:E28"/>
    <mergeCell ref="H13:H14"/>
    <mergeCell ref="C24:D24"/>
    <mergeCell ref="C25:D25"/>
    <mergeCell ref="B26:D26"/>
    <mergeCell ref="G1:H1"/>
    <mergeCell ref="F2:H4"/>
    <mergeCell ref="B6:H6"/>
    <mergeCell ref="B7:H7"/>
    <mergeCell ref="B8:H8"/>
    <mergeCell ref="B9:H9"/>
    <mergeCell ref="B10:H10"/>
    <mergeCell ref="B11:H11"/>
    <mergeCell ref="C35:E35"/>
    <mergeCell ref="C127:D127"/>
    <mergeCell ref="C124:D124"/>
    <mergeCell ref="C125:D125"/>
    <mergeCell ref="C22:D22"/>
    <mergeCell ref="C30:E30"/>
    <mergeCell ref="C31:E31"/>
    <mergeCell ref="C32:E32"/>
    <mergeCell ref="C33:E33"/>
    <mergeCell ref="C160:D160"/>
    <mergeCell ref="C159:D159"/>
    <mergeCell ref="B157:G157"/>
    <mergeCell ref="C123:D123"/>
    <mergeCell ref="C34:E34"/>
    <mergeCell ref="C126:D126"/>
    <mergeCell ref="C129:D129"/>
    <mergeCell ref="C36:E36"/>
    <mergeCell ref="C40:E40"/>
    <mergeCell ref="B149:G149"/>
    <mergeCell ref="B134:F134"/>
    <mergeCell ref="B135:G135"/>
    <mergeCell ref="C137:D137"/>
    <mergeCell ref="C138:D138"/>
    <mergeCell ref="C139:D139"/>
    <mergeCell ref="B140:F140"/>
    <mergeCell ref="B142:G142"/>
    <mergeCell ref="C145:D145"/>
    <mergeCell ref="C146:D146"/>
    <mergeCell ref="C549:D549"/>
    <mergeCell ref="C376:D376"/>
    <mergeCell ref="C377:D377"/>
    <mergeCell ref="B390:H390"/>
    <mergeCell ref="B391:H391"/>
    <mergeCell ref="C378:D378"/>
    <mergeCell ref="B379:F379"/>
    <mergeCell ref="B381:G381"/>
    <mergeCell ref="C384:D384"/>
    <mergeCell ref="C415:E415"/>
    <mergeCell ref="C547:D547"/>
    <mergeCell ref="B202:G202"/>
    <mergeCell ref="C181:D181"/>
    <mergeCell ref="C204:D204"/>
    <mergeCell ref="C205:D205"/>
    <mergeCell ref="C370:D370"/>
    <mergeCell ref="B200:F200"/>
    <mergeCell ref="B187:F187"/>
    <mergeCell ref="B195:G195"/>
    <mergeCell ref="C197:D197"/>
    <mergeCell ref="B546:G546"/>
    <mergeCell ref="B162:F162"/>
    <mergeCell ref="B164:G164"/>
    <mergeCell ref="C166:D166"/>
    <mergeCell ref="C192:D192"/>
    <mergeCell ref="C365:D365"/>
    <mergeCell ref="C167:D167"/>
    <mergeCell ref="C182:D182"/>
    <mergeCell ref="C184:D184"/>
    <mergeCell ref="C198:D198"/>
    <mergeCell ref="C152:D152"/>
    <mergeCell ref="C186:D186"/>
    <mergeCell ref="C161:D161"/>
    <mergeCell ref="B155:F155"/>
    <mergeCell ref="C178:D178"/>
    <mergeCell ref="C180:D180"/>
    <mergeCell ref="B177:G177"/>
    <mergeCell ref="C175:D175"/>
    <mergeCell ref="B176:F176"/>
    <mergeCell ref="C174:D174"/>
    <mergeCell ref="C385:D385"/>
    <mergeCell ref="C413:E413"/>
    <mergeCell ref="C119:D119"/>
    <mergeCell ref="C179:D179"/>
    <mergeCell ref="C190:D190"/>
    <mergeCell ref="C236:E236"/>
    <mergeCell ref="C298:E298"/>
    <mergeCell ref="C321:D321"/>
    <mergeCell ref="C185:D185"/>
    <mergeCell ref="C183:D183"/>
    <mergeCell ref="B17:G17"/>
    <mergeCell ref="B41:F41"/>
    <mergeCell ref="C476:E476"/>
    <mergeCell ref="C499:D499"/>
    <mergeCell ref="C543:D543"/>
    <mergeCell ref="C548:D548"/>
    <mergeCell ref="C383:D383"/>
    <mergeCell ref="B393:H393"/>
    <mergeCell ref="B386:F386"/>
    <mergeCell ref="B388:G388"/>
  </mergeCells>
  <printOptions/>
  <pageMargins left="0.1968503937007874" right="0.1968503937007874" top="0.3937007874015748" bottom="0.1968503937007874" header="0.31496062992125984" footer="0.31496062992125984"/>
  <pageSetup fitToHeight="0" fitToWidth="1" horizontalDpi="600" verticalDpi="600" orientation="portrait" paperSize="9" scale="75" r:id="rId1"/>
  <rowBreaks count="4" manualBreakCount="4">
    <brk id="115" max="7" man="1"/>
    <brk id="194" max="255" man="1"/>
    <brk id="373" max="255" man="1"/>
    <brk id="551" max="255" man="1"/>
  </rowBreaks>
</worksheet>
</file>

<file path=xl/worksheets/sheet12.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K1042"/>
  <sheetViews>
    <sheetView view="pageBreakPreview" zoomScaleSheetLayoutView="100" zoomScalePageLayoutView="0" workbookViewId="0" topLeftCell="A5">
      <selection activeCell="C375" sqref="C375:E375"/>
    </sheetView>
  </sheetViews>
  <sheetFormatPr defaultColWidth="9.140625" defaultRowHeight="15"/>
  <cols>
    <col min="1" max="1" width="4.8515625" style="131" customWidth="1"/>
    <col min="2" max="2" width="15.140625" style="147" customWidth="1"/>
    <col min="3" max="3" width="22.421875" style="147" customWidth="1"/>
    <col min="4" max="4" width="20.28125" style="147" customWidth="1"/>
    <col min="5" max="5" width="19.7109375" style="147" customWidth="1"/>
    <col min="6" max="6" width="16.8515625" style="147" customWidth="1"/>
    <col min="7" max="7" width="17.7109375" style="147" customWidth="1"/>
    <col min="8" max="8" width="16.140625" style="131" customWidth="1"/>
    <col min="9" max="9" width="13.57421875" style="6" customWidth="1"/>
    <col min="10" max="16384" width="9.140625" style="6" customWidth="1"/>
  </cols>
  <sheetData>
    <row r="1" spans="7:8" ht="15" hidden="1">
      <c r="G1" s="589" t="s">
        <v>217</v>
      </c>
      <c r="H1" s="589"/>
    </row>
    <row r="2" spans="2:8" ht="15.75" customHeight="1" hidden="1">
      <c r="B2" s="131"/>
      <c r="C2" s="131"/>
      <c r="D2" s="131"/>
      <c r="E2" s="131"/>
      <c r="F2" s="590" t="s">
        <v>218</v>
      </c>
      <c r="G2" s="590"/>
      <c r="H2" s="590"/>
    </row>
    <row r="3" spans="2:8" ht="15" hidden="1">
      <c r="B3" s="131"/>
      <c r="C3" s="131"/>
      <c r="D3" s="131"/>
      <c r="E3" s="131"/>
      <c r="F3" s="590"/>
      <c r="G3" s="590"/>
      <c r="H3" s="590"/>
    </row>
    <row r="4" spans="2:8" ht="49.5" customHeight="1" hidden="1">
      <c r="B4" s="131"/>
      <c r="C4" s="131"/>
      <c r="D4" s="131"/>
      <c r="E4" s="131"/>
      <c r="F4" s="590"/>
      <c r="G4" s="590"/>
      <c r="H4" s="590"/>
    </row>
    <row r="5" spans="2:8" ht="14.25" customHeight="1">
      <c r="B5" s="131"/>
      <c r="C5" s="131"/>
      <c r="D5" s="131"/>
      <c r="E5" s="131"/>
      <c r="F5" s="148"/>
      <c r="G5" s="148"/>
      <c r="H5" s="265" t="str">
        <f>'Пр.1Титульный лист'!L15</f>
        <v>22.12.2023</v>
      </c>
    </row>
    <row r="6" spans="2:8" ht="15">
      <c r="B6" s="577" t="s">
        <v>712</v>
      </c>
      <c r="C6" s="577"/>
      <c r="D6" s="577"/>
      <c r="E6" s="577"/>
      <c r="F6" s="577"/>
      <c r="G6" s="577"/>
      <c r="H6" s="577"/>
    </row>
    <row r="7" spans="2:8" ht="15">
      <c r="B7" s="577" t="s">
        <v>13</v>
      </c>
      <c r="C7" s="577"/>
      <c r="D7" s="577"/>
      <c r="E7" s="577"/>
      <c r="F7" s="577"/>
      <c r="G7" s="577"/>
      <c r="H7" s="577"/>
    </row>
    <row r="8" spans="2:8" ht="15">
      <c r="B8" s="591" t="s">
        <v>661</v>
      </c>
      <c r="C8" s="577"/>
      <c r="D8" s="577"/>
      <c r="E8" s="577"/>
      <c r="F8" s="577"/>
      <c r="G8" s="577"/>
      <c r="H8" s="577"/>
    </row>
    <row r="9" spans="2:8" ht="15.75" customHeight="1">
      <c r="B9" s="594" t="s">
        <v>603</v>
      </c>
      <c r="C9" s="594"/>
      <c r="D9" s="594"/>
      <c r="E9" s="594"/>
      <c r="F9" s="594"/>
      <c r="G9" s="594"/>
      <c r="H9" s="594"/>
    </row>
    <row r="10" spans="2:8" ht="3" customHeight="1" hidden="1">
      <c r="B10" s="577" t="s">
        <v>259</v>
      </c>
      <c r="C10" s="577"/>
      <c r="D10" s="577"/>
      <c r="E10" s="577"/>
      <c r="F10" s="577"/>
      <c r="G10" s="577"/>
      <c r="H10" s="577"/>
    </row>
    <row r="11" spans="2:8" ht="17.25" customHeight="1" hidden="1">
      <c r="B11" s="595" t="s">
        <v>219</v>
      </c>
      <c r="C11" s="595"/>
      <c r="D11" s="595"/>
      <c r="E11" s="595"/>
      <c r="F11" s="595"/>
      <c r="G11" s="595"/>
      <c r="H11" s="595"/>
    </row>
    <row r="12" spans="2:8" ht="18" customHeight="1" hidden="1">
      <c r="B12" s="577" t="s">
        <v>439</v>
      </c>
      <c r="C12" s="577"/>
      <c r="D12" s="577"/>
      <c r="E12" s="577"/>
      <c r="F12" s="577"/>
      <c r="G12" s="577"/>
      <c r="H12" s="577"/>
    </row>
    <row r="13" spans="2:7" ht="15" customHeight="1" hidden="1">
      <c r="B13" s="333" t="s">
        <v>33</v>
      </c>
      <c r="C13" s="645" t="s">
        <v>521</v>
      </c>
      <c r="D13" s="645"/>
      <c r="E13" s="645"/>
      <c r="F13" s="645"/>
      <c r="G13" s="333" t="s">
        <v>47</v>
      </c>
    </row>
    <row r="14" spans="2:7" ht="14.25" customHeight="1" hidden="1">
      <c r="B14" s="153">
        <v>1</v>
      </c>
      <c r="C14" s="646">
        <v>2</v>
      </c>
      <c r="D14" s="646"/>
      <c r="E14" s="646"/>
      <c r="F14" s="646"/>
      <c r="G14" s="153">
        <v>3</v>
      </c>
    </row>
    <row r="15" spans="2:8" ht="31.5" customHeight="1" hidden="1">
      <c r="B15" s="337" t="s">
        <v>207</v>
      </c>
      <c r="C15" s="647" t="s">
        <v>522</v>
      </c>
      <c r="D15" s="647"/>
      <c r="E15" s="647"/>
      <c r="F15" s="647"/>
      <c r="G15" s="338">
        <f>1794163+22965</f>
        <v>1817128</v>
      </c>
      <c r="H15" s="339"/>
    </row>
    <row r="16" spans="2:8" ht="43.5" customHeight="1" hidden="1">
      <c r="B16" s="337" t="s">
        <v>204</v>
      </c>
      <c r="C16" s="647" t="s">
        <v>798</v>
      </c>
      <c r="D16" s="647"/>
      <c r="E16" s="647"/>
      <c r="F16" s="647"/>
      <c r="G16" s="338">
        <v>83344</v>
      </c>
      <c r="H16" s="339"/>
    </row>
    <row r="17" spans="2:8" ht="23.25" customHeight="1" hidden="1">
      <c r="B17" s="678" t="s">
        <v>233</v>
      </c>
      <c r="C17" s="678"/>
      <c r="D17" s="678"/>
      <c r="E17" s="678"/>
      <c r="F17" s="678"/>
      <c r="G17" s="157">
        <f>G15+G16</f>
        <v>1900472</v>
      </c>
      <c r="H17" s="340"/>
    </row>
    <row r="18" spans="2:8" ht="23.25" customHeight="1" hidden="1">
      <c r="B18" s="678" t="s">
        <v>692</v>
      </c>
      <c r="C18" s="678"/>
      <c r="D18" s="678"/>
      <c r="E18" s="678"/>
      <c r="F18" s="678"/>
      <c r="G18" s="157">
        <v>1817128</v>
      </c>
      <c r="H18" s="340"/>
    </row>
    <row r="19" spans="2:8" ht="23.25" customHeight="1" hidden="1">
      <c r="B19" s="678" t="s">
        <v>797</v>
      </c>
      <c r="C19" s="678"/>
      <c r="D19" s="678"/>
      <c r="E19" s="678"/>
      <c r="F19" s="678"/>
      <c r="G19" s="157">
        <f>G16</f>
        <v>83344</v>
      </c>
      <c r="H19" s="340"/>
    </row>
    <row r="20" spans="2:8" ht="21.75" customHeight="1" hidden="1">
      <c r="B20" s="682" t="s">
        <v>580</v>
      </c>
      <c r="C20" s="682"/>
      <c r="D20" s="682"/>
      <c r="E20" s="682"/>
      <c r="F20" s="682"/>
      <c r="G20" s="682"/>
      <c r="H20" s="340"/>
    </row>
    <row r="21" spans="1:8" s="8" customFormat="1" ht="0.75" customHeight="1" hidden="1">
      <c r="A21" s="147"/>
      <c r="B21" s="582" t="s">
        <v>260</v>
      </c>
      <c r="C21" s="582"/>
      <c r="D21" s="582"/>
      <c r="E21" s="582"/>
      <c r="F21" s="582"/>
      <c r="G21" s="582"/>
      <c r="H21" s="163"/>
    </row>
    <row r="22" spans="1:8" s="8" customFormat="1" ht="13.5" customHeight="1" hidden="1">
      <c r="A22" s="147"/>
      <c r="B22" s="50" t="s">
        <v>33</v>
      </c>
      <c r="C22" s="533" t="s">
        <v>40</v>
      </c>
      <c r="D22" s="535"/>
      <c r="E22" s="50" t="s">
        <v>45</v>
      </c>
      <c r="F22" s="50" t="s">
        <v>46</v>
      </c>
      <c r="G22" s="50" t="s">
        <v>47</v>
      </c>
      <c r="H22" s="163"/>
    </row>
    <row r="23" spans="1:8" s="8" customFormat="1" ht="18" customHeight="1" hidden="1">
      <c r="A23" s="147"/>
      <c r="B23" s="50">
        <v>1</v>
      </c>
      <c r="C23" s="609" t="s">
        <v>327</v>
      </c>
      <c r="D23" s="611"/>
      <c r="E23" s="50">
        <v>50</v>
      </c>
      <c r="F23" s="238">
        <f>G23/E23</f>
        <v>0</v>
      </c>
      <c r="G23" s="239">
        <f>50000-50000</f>
        <v>0</v>
      </c>
      <c r="H23" s="163"/>
    </row>
    <row r="24" spans="1:8" s="8" customFormat="1" ht="8.25" customHeight="1" hidden="1">
      <c r="A24" s="147"/>
      <c r="B24" s="585" t="s">
        <v>222</v>
      </c>
      <c r="C24" s="586"/>
      <c r="D24" s="587"/>
      <c r="E24" s="50" t="s">
        <v>35</v>
      </c>
      <c r="F24" s="170" t="s">
        <v>35</v>
      </c>
      <c r="G24" s="122">
        <f>SUM(G23:G23)</f>
        <v>0</v>
      </c>
      <c r="H24" s="163"/>
    </row>
    <row r="25" spans="2:8" ht="14.25" customHeight="1" hidden="1">
      <c r="B25" s="678" t="s">
        <v>576</v>
      </c>
      <c r="C25" s="678"/>
      <c r="D25" s="678"/>
      <c r="E25" s="678"/>
      <c r="F25" s="678"/>
      <c r="G25" s="157">
        <f>G24</f>
        <v>0</v>
      </c>
      <c r="H25" s="340"/>
    </row>
    <row r="26" spans="2:8" ht="45" customHeight="1" hidden="1">
      <c r="B26" s="673" t="s">
        <v>559</v>
      </c>
      <c r="C26" s="673"/>
      <c r="D26" s="673"/>
      <c r="E26" s="673"/>
      <c r="F26" s="673"/>
      <c r="G26" s="673"/>
      <c r="H26" s="673"/>
    </row>
    <row r="27" spans="2:8" ht="25.5" customHeight="1" hidden="1">
      <c r="B27" s="333" t="s">
        <v>33</v>
      </c>
      <c r="C27" s="645" t="s">
        <v>21</v>
      </c>
      <c r="D27" s="645"/>
      <c r="E27" s="645"/>
      <c r="F27" s="645"/>
      <c r="G27" s="333" t="s">
        <v>22</v>
      </c>
      <c r="H27" s="333" t="s">
        <v>23</v>
      </c>
    </row>
    <row r="28" spans="2:8" ht="20.25" customHeight="1" hidden="1">
      <c r="B28" s="341">
        <v>1</v>
      </c>
      <c r="C28" s="683">
        <v>2</v>
      </c>
      <c r="D28" s="683"/>
      <c r="E28" s="683"/>
      <c r="F28" s="683"/>
      <c r="G28" s="341">
        <v>3</v>
      </c>
      <c r="H28" s="341">
        <v>4</v>
      </c>
    </row>
    <row r="29" spans="2:8" ht="21.75" customHeight="1" hidden="1">
      <c r="B29" s="341">
        <v>1</v>
      </c>
      <c r="C29" s="684" t="s">
        <v>34</v>
      </c>
      <c r="D29" s="684"/>
      <c r="E29" s="684"/>
      <c r="F29" s="684"/>
      <c r="G29" s="341" t="s">
        <v>35</v>
      </c>
      <c r="H29" s="342">
        <f>SUM(H30:H32)</f>
        <v>418102.9</v>
      </c>
    </row>
    <row r="30" spans="2:8" ht="17.25" customHeight="1" hidden="1">
      <c r="B30" s="341" t="s">
        <v>24</v>
      </c>
      <c r="C30" s="684" t="s">
        <v>36</v>
      </c>
      <c r="D30" s="684"/>
      <c r="E30" s="684"/>
      <c r="F30" s="684"/>
      <c r="G30" s="342">
        <f>G17</f>
        <v>1900472</v>
      </c>
      <c r="H30" s="342">
        <f>ROUNDDOWN(G30*22%,0)-0.1</f>
        <v>418102.9</v>
      </c>
    </row>
    <row r="31" spans="2:8" ht="18" customHeight="1" hidden="1">
      <c r="B31" s="343" t="s">
        <v>25</v>
      </c>
      <c r="C31" s="684" t="s">
        <v>37</v>
      </c>
      <c r="D31" s="684"/>
      <c r="E31" s="684"/>
      <c r="F31" s="312"/>
      <c r="G31" s="342"/>
      <c r="H31" s="342"/>
    </row>
    <row r="32" spans="2:8" ht="15.75" customHeight="1" hidden="1">
      <c r="B32" s="341" t="s">
        <v>26</v>
      </c>
      <c r="C32" s="684" t="s">
        <v>77</v>
      </c>
      <c r="D32" s="684"/>
      <c r="E32" s="684"/>
      <c r="F32" s="312"/>
      <c r="G32" s="342"/>
      <c r="H32" s="342"/>
    </row>
    <row r="33" spans="2:8" ht="24.75" customHeight="1" hidden="1">
      <c r="B33" s="341">
        <v>2</v>
      </c>
      <c r="C33" s="684" t="s">
        <v>27</v>
      </c>
      <c r="D33" s="684"/>
      <c r="E33" s="684"/>
      <c r="F33" s="684"/>
      <c r="G33" s="341" t="s">
        <v>35</v>
      </c>
      <c r="H33" s="342">
        <f>SUM(H34:H38)</f>
        <v>58915</v>
      </c>
    </row>
    <row r="34" spans="2:8" ht="27" customHeight="1" hidden="1">
      <c r="B34" s="341" t="s">
        <v>28</v>
      </c>
      <c r="C34" s="684" t="s">
        <v>78</v>
      </c>
      <c r="D34" s="684"/>
      <c r="E34" s="684"/>
      <c r="F34" s="684"/>
      <c r="G34" s="342">
        <f>G30</f>
        <v>1900472</v>
      </c>
      <c r="H34" s="342">
        <f>ROUNDUP(G34*2.9%,0)</f>
        <v>55114</v>
      </c>
    </row>
    <row r="35" spans="2:8" ht="31.5" customHeight="1" hidden="1">
      <c r="B35" s="341" t="s">
        <v>29</v>
      </c>
      <c r="C35" s="684" t="s">
        <v>79</v>
      </c>
      <c r="D35" s="684"/>
      <c r="E35" s="684"/>
      <c r="F35" s="312"/>
      <c r="G35" s="342"/>
      <c r="H35" s="342"/>
    </row>
    <row r="36" spans="2:8" ht="27" customHeight="1" hidden="1">
      <c r="B36" s="341" t="s">
        <v>29</v>
      </c>
      <c r="C36" s="684" t="s">
        <v>76</v>
      </c>
      <c r="D36" s="684"/>
      <c r="E36" s="684"/>
      <c r="F36" s="684"/>
      <c r="G36" s="342">
        <f>G34</f>
        <v>1900472</v>
      </c>
      <c r="H36" s="342">
        <f>ROUNDUP(G36*0.2%,0)</f>
        <v>3801</v>
      </c>
    </row>
    <row r="37" spans="2:8" ht="27.75" customHeight="1" hidden="1">
      <c r="B37" s="341" t="s">
        <v>31</v>
      </c>
      <c r="C37" s="684" t="s">
        <v>80</v>
      </c>
      <c r="D37" s="684"/>
      <c r="E37" s="684"/>
      <c r="F37" s="312"/>
      <c r="G37" s="342"/>
      <c r="H37" s="342"/>
    </row>
    <row r="38" spans="2:8" ht="57.75" customHeight="1" hidden="1">
      <c r="B38" s="341" t="s">
        <v>32</v>
      </c>
      <c r="C38" s="684" t="s">
        <v>80</v>
      </c>
      <c r="D38" s="684"/>
      <c r="E38" s="684"/>
      <c r="F38" s="312"/>
      <c r="G38" s="342"/>
      <c r="H38" s="342"/>
    </row>
    <row r="39" spans="2:8" ht="15.75" customHeight="1" hidden="1">
      <c r="B39" s="341" t="s">
        <v>38</v>
      </c>
      <c r="C39" s="684" t="s">
        <v>39</v>
      </c>
      <c r="D39" s="684"/>
      <c r="E39" s="684"/>
      <c r="F39" s="684"/>
      <c r="G39" s="342">
        <f>G36</f>
        <v>1900472</v>
      </c>
      <c r="H39" s="342">
        <f>ROUNDDOWN(G39*5.1%,0)</f>
        <v>96924</v>
      </c>
    </row>
    <row r="40" spans="2:8" ht="26.25" customHeight="1" hidden="1">
      <c r="B40" s="685" t="s">
        <v>72</v>
      </c>
      <c r="C40" s="685"/>
      <c r="D40" s="685"/>
      <c r="E40" s="685"/>
      <c r="F40" s="685"/>
      <c r="G40" s="685"/>
      <c r="H40" s="344">
        <f>H29+H33+H39</f>
        <v>573941.9</v>
      </c>
    </row>
    <row r="41" spans="2:8" ht="17.25" customHeight="1" hidden="1">
      <c r="B41" s="685" t="s">
        <v>692</v>
      </c>
      <c r="C41" s="685"/>
      <c r="D41" s="685"/>
      <c r="E41" s="685"/>
      <c r="F41" s="685"/>
      <c r="G41" s="685"/>
      <c r="H41" s="344">
        <v>548772</v>
      </c>
    </row>
    <row r="42" spans="2:8" ht="17.25" customHeight="1" hidden="1">
      <c r="B42" s="685" t="s">
        <v>797</v>
      </c>
      <c r="C42" s="685"/>
      <c r="D42" s="685"/>
      <c r="E42" s="685"/>
      <c r="F42" s="685"/>
      <c r="G42" s="685"/>
      <c r="H42" s="344">
        <v>25169.9</v>
      </c>
    </row>
    <row r="43" spans="2:8" ht="34.5" customHeight="1" hidden="1">
      <c r="B43" s="559" t="s">
        <v>264</v>
      </c>
      <c r="C43" s="559"/>
      <c r="D43" s="559"/>
      <c r="E43" s="559"/>
      <c r="F43" s="559"/>
      <c r="G43" s="559"/>
      <c r="H43" s="168"/>
    </row>
    <row r="44" spans="2:8" ht="15" customHeight="1" hidden="1">
      <c r="B44" s="668" t="s">
        <v>551</v>
      </c>
      <c r="C44" s="668"/>
      <c r="D44" s="668"/>
      <c r="E44" s="668"/>
      <c r="F44" s="668"/>
      <c r="G44" s="668"/>
      <c r="H44" s="668"/>
    </row>
    <row r="45" spans="2:8" ht="3" customHeight="1" hidden="1">
      <c r="B45" s="577" t="s">
        <v>439</v>
      </c>
      <c r="C45" s="577"/>
      <c r="D45" s="577"/>
      <c r="E45" s="577"/>
      <c r="F45" s="577"/>
      <c r="G45" s="577"/>
      <c r="H45" s="577"/>
    </row>
    <row r="46" ht="10.5" customHeight="1" hidden="1"/>
    <row r="47" spans="2:8" ht="15.75" customHeight="1" hidden="1">
      <c r="B47" s="50" t="s">
        <v>33</v>
      </c>
      <c r="C47" s="530" t="s">
        <v>521</v>
      </c>
      <c r="D47" s="530"/>
      <c r="E47" s="530"/>
      <c r="F47" s="530"/>
      <c r="G47" s="50" t="s">
        <v>47</v>
      </c>
      <c r="H47" s="306"/>
    </row>
    <row r="48" spans="2:8" ht="15" hidden="1">
      <c r="B48" s="152">
        <v>1</v>
      </c>
      <c r="C48" s="676">
        <v>2</v>
      </c>
      <c r="D48" s="676"/>
      <c r="E48" s="676"/>
      <c r="F48" s="676"/>
      <c r="G48" s="152">
        <v>3</v>
      </c>
      <c r="H48" s="306"/>
    </row>
    <row r="49" spans="2:8" ht="30" customHeight="1" hidden="1">
      <c r="B49" s="311" t="s">
        <v>207</v>
      </c>
      <c r="C49" s="677" t="s">
        <v>522</v>
      </c>
      <c r="D49" s="677"/>
      <c r="E49" s="677"/>
      <c r="F49" s="677"/>
      <c r="G49" s="309">
        <v>0</v>
      </c>
      <c r="H49" s="307"/>
    </row>
    <row r="50" spans="2:8" ht="15.75" customHeight="1" hidden="1">
      <c r="B50" s="675" t="s">
        <v>233</v>
      </c>
      <c r="C50" s="675"/>
      <c r="D50" s="675"/>
      <c r="E50" s="675"/>
      <c r="F50" s="675"/>
      <c r="G50" s="310">
        <f>G49</f>
        <v>0</v>
      </c>
      <c r="H50" s="186"/>
    </row>
    <row r="51" spans="2:8" ht="15.75" customHeight="1" hidden="1">
      <c r="B51" s="675" t="s">
        <v>524</v>
      </c>
      <c r="C51" s="675"/>
      <c r="D51" s="675"/>
      <c r="E51" s="675"/>
      <c r="F51" s="675"/>
      <c r="G51" s="310">
        <f>G50</f>
        <v>0</v>
      </c>
      <c r="H51" s="186"/>
    </row>
    <row r="52" spans="2:8" ht="6.75" customHeight="1" hidden="1">
      <c r="B52" s="305"/>
      <c r="C52" s="305"/>
      <c r="D52" s="305"/>
      <c r="E52" s="305"/>
      <c r="F52" s="305"/>
      <c r="G52" s="308"/>
      <c r="H52" s="186"/>
    </row>
    <row r="53" spans="2:8" ht="63" customHeight="1" hidden="1">
      <c r="B53" s="577" t="s">
        <v>262</v>
      </c>
      <c r="C53" s="577"/>
      <c r="D53" s="577"/>
      <c r="E53" s="577"/>
      <c r="F53" s="577"/>
      <c r="G53" s="577"/>
      <c r="H53" s="166"/>
    </row>
    <row r="54" ht="6.75" customHeight="1" hidden="1"/>
    <row r="55" spans="2:8" ht="9" customHeight="1" hidden="1">
      <c r="B55" s="50" t="s">
        <v>33</v>
      </c>
      <c r="C55" s="530" t="s">
        <v>21</v>
      </c>
      <c r="D55" s="530"/>
      <c r="E55" s="530"/>
      <c r="F55" s="530"/>
      <c r="G55" s="50" t="s">
        <v>22</v>
      </c>
      <c r="H55" s="50" t="s">
        <v>23</v>
      </c>
    </row>
    <row r="56" spans="2:8" ht="15" hidden="1">
      <c r="B56" s="118">
        <v>1</v>
      </c>
      <c r="C56" s="531">
        <v>2</v>
      </c>
      <c r="D56" s="531"/>
      <c r="E56" s="531"/>
      <c r="F56" s="531"/>
      <c r="G56" s="118">
        <v>3</v>
      </c>
      <c r="H56" s="118">
        <v>4</v>
      </c>
    </row>
    <row r="57" spans="2:8" ht="22.5" customHeight="1" hidden="1">
      <c r="B57" s="118">
        <v>1</v>
      </c>
      <c r="C57" s="567" t="s">
        <v>34</v>
      </c>
      <c r="D57" s="567"/>
      <c r="E57" s="567"/>
      <c r="F57" s="567"/>
      <c r="G57" s="118" t="s">
        <v>35</v>
      </c>
      <c r="H57" s="159">
        <f>SUM(H58:H60)</f>
        <v>0</v>
      </c>
    </row>
    <row r="58" spans="2:8" ht="15" hidden="1">
      <c r="B58" s="118" t="s">
        <v>24</v>
      </c>
      <c r="C58" s="567" t="s">
        <v>36</v>
      </c>
      <c r="D58" s="567"/>
      <c r="E58" s="567"/>
      <c r="F58" s="567"/>
      <c r="G58" s="159">
        <f>G51</f>
        <v>0</v>
      </c>
      <c r="H58" s="159">
        <f>ROUNDDOWN(G58*22%,0)</f>
        <v>0</v>
      </c>
    </row>
    <row r="59" spans="2:8" ht="15" hidden="1">
      <c r="B59" s="160" t="s">
        <v>25</v>
      </c>
      <c r="C59" s="567" t="s">
        <v>37</v>
      </c>
      <c r="D59" s="567"/>
      <c r="E59" s="567"/>
      <c r="F59" s="312"/>
      <c r="G59" s="159"/>
      <c r="H59" s="159"/>
    </row>
    <row r="60" spans="2:8" ht="50.25" customHeight="1" hidden="1">
      <c r="B60" s="118" t="s">
        <v>26</v>
      </c>
      <c r="C60" s="567" t="s">
        <v>77</v>
      </c>
      <c r="D60" s="567"/>
      <c r="E60" s="567"/>
      <c r="F60" s="312"/>
      <c r="G60" s="159"/>
      <c r="H60" s="159"/>
    </row>
    <row r="61" spans="2:8" ht="33" customHeight="1" hidden="1">
      <c r="B61" s="118">
        <v>2</v>
      </c>
      <c r="C61" s="567" t="s">
        <v>27</v>
      </c>
      <c r="D61" s="567"/>
      <c r="E61" s="567"/>
      <c r="F61" s="567"/>
      <c r="G61" s="118" t="s">
        <v>35</v>
      </c>
      <c r="H61" s="159">
        <f>SUM(H62:H66)</f>
        <v>0</v>
      </c>
    </row>
    <row r="62" spans="2:8" ht="29.25" customHeight="1" hidden="1">
      <c r="B62" s="118" t="s">
        <v>28</v>
      </c>
      <c r="C62" s="567" t="s">
        <v>78</v>
      </c>
      <c r="D62" s="567"/>
      <c r="E62" s="567"/>
      <c r="F62" s="567"/>
      <c r="G62" s="159">
        <f>G58</f>
        <v>0</v>
      </c>
      <c r="H62" s="159">
        <f>ROUNDUP(G62*2.9%,0)</f>
        <v>0</v>
      </c>
    </row>
    <row r="63" spans="2:8" ht="33" customHeight="1" hidden="1">
      <c r="B63" s="118" t="s">
        <v>29</v>
      </c>
      <c r="C63" s="567" t="s">
        <v>79</v>
      </c>
      <c r="D63" s="567"/>
      <c r="E63" s="567"/>
      <c r="F63" s="312"/>
      <c r="G63" s="159"/>
      <c r="H63" s="159"/>
    </row>
    <row r="64" spans="2:8" ht="21" customHeight="1" hidden="1">
      <c r="B64" s="118" t="s">
        <v>29</v>
      </c>
      <c r="C64" s="567" t="s">
        <v>76</v>
      </c>
      <c r="D64" s="567"/>
      <c r="E64" s="567"/>
      <c r="F64" s="567"/>
      <c r="G64" s="159">
        <f>G62</f>
        <v>0</v>
      </c>
      <c r="H64" s="159">
        <f>ROUNDUP(G64*0.2%,0)</f>
        <v>0</v>
      </c>
    </row>
    <row r="65" spans="2:8" ht="46.5" customHeight="1" hidden="1">
      <c r="B65" s="118" t="s">
        <v>31</v>
      </c>
      <c r="C65" s="567" t="s">
        <v>80</v>
      </c>
      <c r="D65" s="567"/>
      <c r="E65" s="567"/>
      <c r="F65" s="312"/>
      <c r="G65" s="159"/>
      <c r="H65" s="159"/>
    </row>
    <row r="66" spans="2:8" ht="45" customHeight="1" hidden="1">
      <c r="B66" s="118" t="s">
        <v>32</v>
      </c>
      <c r="C66" s="567" t="s">
        <v>80</v>
      </c>
      <c r="D66" s="567"/>
      <c r="E66" s="567"/>
      <c r="F66" s="312"/>
      <c r="G66" s="159"/>
      <c r="H66" s="159"/>
    </row>
    <row r="67" spans="2:8" ht="34.5" customHeight="1" hidden="1">
      <c r="B67" s="118" t="s">
        <v>38</v>
      </c>
      <c r="C67" s="567" t="s">
        <v>39</v>
      </c>
      <c r="D67" s="567"/>
      <c r="E67" s="567"/>
      <c r="F67" s="567"/>
      <c r="G67" s="159">
        <f>G64</f>
        <v>0</v>
      </c>
      <c r="H67" s="159">
        <f>ROUNDDOWN(G67*5.1%,0)</f>
        <v>0</v>
      </c>
    </row>
    <row r="68" spans="2:8" ht="15" hidden="1">
      <c r="B68" s="565" t="s">
        <v>72</v>
      </c>
      <c r="C68" s="565"/>
      <c r="D68" s="565"/>
      <c r="E68" s="565"/>
      <c r="F68" s="565"/>
      <c r="G68" s="565"/>
      <c r="H68" s="161">
        <f>H57+H61+H67</f>
        <v>0</v>
      </c>
    </row>
    <row r="69" spans="2:8" ht="15" hidden="1">
      <c r="B69" s="565" t="s">
        <v>523</v>
      </c>
      <c r="C69" s="565"/>
      <c r="D69" s="565"/>
      <c r="E69" s="565"/>
      <c r="F69" s="565"/>
      <c r="G69" s="565"/>
      <c r="H69" s="161">
        <f>H68</f>
        <v>0</v>
      </c>
    </row>
    <row r="70" spans="2:8" ht="7.5" customHeight="1" hidden="1">
      <c r="B70" s="150"/>
      <c r="C70" s="150"/>
      <c r="D70" s="150"/>
      <c r="E70" s="150"/>
      <c r="F70" s="150"/>
      <c r="G70" s="150"/>
      <c r="H70" s="150"/>
    </row>
    <row r="71" spans="2:8" ht="15" hidden="1">
      <c r="B71" s="577" t="s">
        <v>259</v>
      </c>
      <c r="C71" s="577"/>
      <c r="D71" s="577"/>
      <c r="E71" s="577"/>
      <c r="F71" s="577"/>
      <c r="G71" s="577"/>
      <c r="H71" s="577"/>
    </row>
    <row r="72" ht="15.75" customHeight="1" hidden="1"/>
    <row r="73" spans="2:8" ht="15" hidden="1">
      <c r="B73" s="595" t="s">
        <v>219</v>
      </c>
      <c r="C73" s="595"/>
      <c r="D73" s="595"/>
      <c r="E73" s="595"/>
      <c r="F73" s="595"/>
      <c r="G73" s="595"/>
      <c r="H73" s="595"/>
    </row>
    <row r="74" spans="2:8" ht="15" hidden="1">
      <c r="B74" s="577" t="s">
        <v>261</v>
      </c>
      <c r="C74" s="577"/>
      <c r="D74" s="577"/>
      <c r="E74" s="577"/>
      <c r="F74" s="577"/>
      <c r="G74" s="577"/>
      <c r="H74" s="577"/>
    </row>
    <row r="75" ht="15" hidden="1"/>
    <row r="76" spans="2:8" ht="48" customHeight="1" hidden="1">
      <c r="B76" s="592" t="s">
        <v>14</v>
      </c>
      <c r="C76" s="593"/>
      <c r="D76" s="592" t="s">
        <v>19</v>
      </c>
      <c r="E76" s="593"/>
      <c r="F76" s="592" t="s">
        <v>20</v>
      </c>
      <c r="G76" s="593"/>
      <c r="H76" s="596" t="s">
        <v>15</v>
      </c>
    </row>
    <row r="77" spans="2:8" ht="15" hidden="1">
      <c r="B77" s="152" t="s">
        <v>16</v>
      </c>
      <c r="C77" s="152" t="s">
        <v>17</v>
      </c>
      <c r="D77" s="152" t="s">
        <v>16</v>
      </c>
      <c r="E77" s="152" t="s">
        <v>17</v>
      </c>
      <c r="F77" s="152" t="s">
        <v>16</v>
      </c>
      <c r="G77" s="152" t="s">
        <v>17</v>
      </c>
      <c r="H77" s="597"/>
    </row>
    <row r="78" spans="2:8" ht="15" hidden="1">
      <c r="B78" s="152">
        <v>1</v>
      </c>
      <c r="C78" s="152">
        <v>2</v>
      </c>
      <c r="D78" s="152">
        <v>3</v>
      </c>
      <c r="E78" s="152">
        <v>4</v>
      </c>
      <c r="F78" s="152">
        <v>5</v>
      </c>
      <c r="G78" s="152">
        <v>6</v>
      </c>
      <c r="H78" s="153">
        <v>7</v>
      </c>
    </row>
    <row r="79" spans="2:8" ht="17.25" customHeight="1" hidden="1">
      <c r="B79" s="154"/>
      <c r="C79" s="154"/>
      <c r="D79" s="155"/>
      <c r="E79" s="155"/>
      <c r="F79" s="155"/>
      <c r="G79" s="155"/>
      <c r="H79" s="156"/>
    </row>
    <row r="80" spans="2:8" ht="15" hidden="1">
      <c r="B80" s="598" t="s">
        <v>233</v>
      </c>
      <c r="C80" s="599"/>
      <c r="D80" s="599"/>
      <c r="E80" s="599"/>
      <c r="F80" s="599"/>
      <c r="G80" s="600"/>
      <c r="H80" s="157">
        <f>H79</f>
        <v>0</v>
      </c>
    </row>
    <row r="81" spans="2:8" ht="15" hidden="1">
      <c r="B81" s="185"/>
      <c r="C81" s="185"/>
      <c r="D81" s="185"/>
      <c r="E81" s="185"/>
      <c r="F81" s="185"/>
      <c r="G81" s="185"/>
      <c r="H81" s="186"/>
    </row>
    <row r="82" spans="1:8" s="8" customFormat="1" ht="18" customHeight="1" hidden="1">
      <c r="A82" s="147"/>
      <c r="B82" s="582" t="s">
        <v>260</v>
      </c>
      <c r="C82" s="582"/>
      <c r="D82" s="582"/>
      <c r="E82" s="582"/>
      <c r="F82" s="582"/>
      <c r="G82" s="582"/>
      <c r="H82" s="163"/>
    </row>
    <row r="83" spans="1:8" s="8" customFormat="1" ht="15" hidden="1">
      <c r="A83" s="147"/>
      <c r="B83" s="163"/>
      <c r="C83" s="163"/>
      <c r="D83" s="164"/>
      <c r="E83" s="163"/>
      <c r="F83" s="163"/>
      <c r="G83" s="163"/>
      <c r="H83" s="163"/>
    </row>
    <row r="84" spans="1:8" s="8" customFormat="1" ht="30.75" hidden="1">
      <c r="A84" s="147"/>
      <c r="B84" s="50" t="s">
        <v>33</v>
      </c>
      <c r="C84" s="533" t="s">
        <v>40</v>
      </c>
      <c r="D84" s="535"/>
      <c r="E84" s="50" t="s">
        <v>45</v>
      </c>
      <c r="F84" s="50" t="s">
        <v>46</v>
      </c>
      <c r="G84" s="50" t="s">
        <v>47</v>
      </c>
      <c r="H84" s="163"/>
    </row>
    <row r="85" spans="1:8" s="8" customFormat="1" ht="15" hidden="1">
      <c r="A85" s="147"/>
      <c r="B85" s="50">
        <v>1</v>
      </c>
      <c r="C85" s="533">
        <v>2</v>
      </c>
      <c r="D85" s="535"/>
      <c r="E85" s="50">
        <v>2</v>
      </c>
      <c r="F85" s="50">
        <v>4</v>
      </c>
      <c r="G85" s="50">
        <v>5</v>
      </c>
      <c r="H85" s="163"/>
    </row>
    <row r="86" spans="1:8" s="8" customFormat="1" ht="15" hidden="1">
      <c r="A86" s="147"/>
      <c r="B86" s="50"/>
      <c r="C86" s="533"/>
      <c r="D86" s="535"/>
      <c r="E86" s="50"/>
      <c r="F86" s="50"/>
      <c r="G86" s="50"/>
      <c r="H86" s="163"/>
    </row>
    <row r="87" spans="1:8" s="8" customFormat="1" ht="17.25" customHeight="1" hidden="1">
      <c r="A87" s="147"/>
      <c r="B87" s="50"/>
      <c r="C87" s="609"/>
      <c r="D87" s="611"/>
      <c r="E87" s="50"/>
      <c r="F87" s="169"/>
      <c r="G87" s="123"/>
      <c r="H87" s="163"/>
    </row>
    <row r="88" spans="1:8" s="8" customFormat="1" ht="15" hidden="1">
      <c r="A88" s="147"/>
      <c r="B88" s="585" t="s">
        <v>222</v>
      </c>
      <c r="C88" s="586"/>
      <c r="D88" s="587"/>
      <c r="E88" s="50" t="s">
        <v>35</v>
      </c>
      <c r="F88" s="170" t="s">
        <v>35</v>
      </c>
      <c r="G88" s="122">
        <f>SUM(G87:G87)</f>
        <v>0</v>
      </c>
      <c r="H88" s="163"/>
    </row>
    <row r="89" spans="2:8" ht="15" hidden="1">
      <c r="B89" s="185"/>
      <c r="C89" s="185"/>
      <c r="D89" s="185"/>
      <c r="E89" s="185"/>
      <c r="F89" s="185"/>
      <c r="G89" s="185"/>
      <c r="H89" s="186"/>
    </row>
    <row r="90" spans="2:8" ht="63" customHeight="1" hidden="1">
      <c r="B90" s="577" t="s">
        <v>262</v>
      </c>
      <c r="C90" s="577"/>
      <c r="D90" s="577"/>
      <c r="E90" s="577"/>
      <c r="F90" s="577"/>
      <c r="G90" s="577"/>
      <c r="H90" s="166"/>
    </row>
    <row r="91" ht="15" hidden="1"/>
    <row r="92" spans="2:7" ht="62.25" hidden="1">
      <c r="B92" s="50" t="s">
        <v>33</v>
      </c>
      <c r="C92" s="533" t="s">
        <v>21</v>
      </c>
      <c r="D92" s="534"/>
      <c r="E92" s="535"/>
      <c r="F92" s="50" t="s">
        <v>22</v>
      </c>
      <c r="G92" s="50" t="s">
        <v>23</v>
      </c>
    </row>
    <row r="93" spans="2:7" ht="15" hidden="1">
      <c r="B93" s="118">
        <v>1</v>
      </c>
      <c r="C93" s="605">
        <v>2</v>
      </c>
      <c r="D93" s="606"/>
      <c r="E93" s="607"/>
      <c r="F93" s="118">
        <v>3</v>
      </c>
      <c r="G93" s="118">
        <v>4</v>
      </c>
    </row>
    <row r="94" spans="2:7" ht="32.25" customHeight="1" hidden="1">
      <c r="B94" s="118">
        <v>1</v>
      </c>
      <c r="C94" s="609" t="s">
        <v>34</v>
      </c>
      <c r="D94" s="610"/>
      <c r="E94" s="611"/>
      <c r="F94" s="118" t="s">
        <v>35</v>
      </c>
      <c r="G94" s="159">
        <f>SUM(G95:G97)</f>
        <v>0</v>
      </c>
    </row>
    <row r="95" spans="2:7" ht="15" hidden="1">
      <c r="B95" s="118" t="s">
        <v>24</v>
      </c>
      <c r="C95" s="609" t="s">
        <v>36</v>
      </c>
      <c r="D95" s="610"/>
      <c r="E95" s="611"/>
      <c r="F95" s="159">
        <f>H79</f>
        <v>0</v>
      </c>
      <c r="G95" s="159">
        <f>F95*22%</f>
        <v>0</v>
      </c>
    </row>
    <row r="96" spans="2:7" ht="15" hidden="1">
      <c r="B96" s="160" t="s">
        <v>25</v>
      </c>
      <c r="C96" s="609" t="s">
        <v>37</v>
      </c>
      <c r="D96" s="610"/>
      <c r="E96" s="611"/>
      <c r="F96" s="159"/>
      <c r="G96" s="159"/>
    </row>
    <row r="97" spans="2:7" ht="50.25" customHeight="1" hidden="1">
      <c r="B97" s="118" t="s">
        <v>26</v>
      </c>
      <c r="C97" s="609" t="s">
        <v>77</v>
      </c>
      <c r="D97" s="610"/>
      <c r="E97" s="611"/>
      <c r="F97" s="159"/>
      <c r="G97" s="159"/>
    </row>
    <row r="98" spans="2:7" ht="33" customHeight="1" hidden="1">
      <c r="B98" s="118">
        <v>2</v>
      </c>
      <c r="C98" s="609" t="s">
        <v>27</v>
      </c>
      <c r="D98" s="610"/>
      <c r="E98" s="611"/>
      <c r="F98" s="118" t="s">
        <v>35</v>
      </c>
      <c r="G98" s="159">
        <f>SUM(G99:G103)</f>
        <v>0</v>
      </c>
    </row>
    <row r="99" spans="2:7" ht="45.75" customHeight="1" hidden="1">
      <c r="B99" s="118" t="s">
        <v>28</v>
      </c>
      <c r="C99" s="609" t="s">
        <v>78</v>
      </c>
      <c r="D99" s="610"/>
      <c r="E99" s="611"/>
      <c r="F99" s="159">
        <f>F95</f>
        <v>0</v>
      </c>
      <c r="G99" s="159">
        <f>F99*2.9%</f>
        <v>0</v>
      </c>
    </row>
    <row r="100" spans="2:7" ht="33" customHeight="1" hidden="1">
      <c r="B100" s="118" t="s">
        <v>29</v>
      </c>
      <c r="C100" s="609" t="s">
        <v>79</v>
      </c>
      <c r="D100" s="610"/>
      <c r="E100" s="611"/>
      <c r="F100" s="159"/>
      <c r="G100" s="159"/>
    </row>
    <row r="101" spans="2:7" ht="48" customHeight="1" hidden="1">
      <c r="B101" s="118" t="s">
        <v>30</v>
      </c>
      <c r="C101" s="609" t="s">
        <v>76</v>
      </c>
      <c r="D101" s="610"/>
      <c r="E101" s="611"/>
      <c r="F101" s="159">
        <f>F99</f>
        <v>0</v>
      </c>
      <c r="G101" s="159">
        <f>F101*0.2%</f>
        <v>0</v>
      </c>
    </row>
    <row r="102" spans="2:7" ht="46.5" customHeight="1" hidden="1">
      <c r="B102" s="118" t="s">
        <v>31</v>
      </c>
      <c r="C102" s="609" t="s">
        <v>80</v>
      </c>
      <c r="D102" s="610"/>
      <c r="E102" s="611"/>
      <c r="F102" s="159"/>
      <c r="G102" s="159"/>
    </row>
    <row r="103" spans="2:7" ht="45" customHeight="1" hidden="1">
      <c r="B103" s="118" t="s">
        <v>32</v>
      </c>
      <c r="C103" s="609" t="s">
        <v>80</v>
      </c>
      <c r="D103" s="610"/>
      <c r="E103" s="611"/>
      <c r="F103" s="159"/>
      <c r="G103" s="159"/>
    </row>
    <row r="104" spans="2:7" ht="38.25" customHeight="1" hidden="1">
      <c r="B104" s="118" t="s">
        <v>38</v>
      </c>
      <c r="C104" s="609" t="s">
        <v>39</v>
      </c>
      <c r="D104" s="610"/>
      <c r="E104" s="611"/>
      <c r="F104" s="159">
        <f>F101</f>
        <v>0</v>
      </c>
      <c r="G104" s="159">
        <f>F104*5.1%</f>
        <v>0</v>
      </c>
    </row>
    <row r="105" spans="2:7" ht="15" hidden="1">
      <c r="B105" s="574" t="s">
        <v>72</v>
      </c>
      <c r="C105" s="575"/>
      <c r="D105" s="575"/>
      <c r="E105" s="576"/>
      <c r="F105" s="118" t="s">
        <v>35</v>
      </c>
      <c r="G105" s="161">
        <f>G94+G98+G104</f>
        <v>0</v>
      </c>
    </row>
    <row r="106" ht="15" hidden="1"/>
    <row r="107" spans="2:7" ht="15" hidden="1">
      <c r="B107" s="559" t="s">
        <v>263</v>
      </c>
      <c r="C107" s="559"/>
      <c r="D107" s="559"/>
      <c r="E107" s="559"/>
      <c r="F107" s="559"/>
      <c r="G107" s="559"/>
    </row>
    <row r="108" spans="2:7" ht="15" hidden="1">
      <c r="B108" s="163"/>
      <c r="C108" s="163"/>
      <c r="D108" s="163"/>
      <c r="E108" s="163"/>
      <c r="F108" s="163"/>
      <c r="G108" s="164"/>
    </row>
    <row r="109" spans="2:7" ht="15" hidden="1">
      <c r="B109" s="608" t="s">
        <v>220</v>
      </c>
      <c r="C109" s="608"/>
      <c r="D109" s="608"/>
      <c r="E109" s="608"/>
      <c r="F109" s="608"/>
      <c r="G109" s="608"/>
    </row>
    <row r="110" spans="2:7" ht="15" hidden="1">
      <c r="B110" s="163"/>
      <c r="C110" s="165"/>
      <c r="D110" s="163"/>
      <c r="E110" s="163"/>
      <c r="F110" s="163"/>
      <c r="G110" s="163"/>
    </row>
    <row r="111" spans="2:7" ht="78" hidden="1">
      <c r="B111" s="50" t="s">
        <v>33</v>
      </c>
      <c r="C111" s="530" t="s">
        <v>40</v>
      </c>
      <c r="D111" s="530"/>
      <c r="E111" s="50" t="s">
        <v>41</v>
      </c>
      <c r="F111" s="50" t="s">
        <v>42</v>
      </c>
      <c r="G111" s="50" t="s">
        <v>43</v>
      </c>
    </row>
    <row r="112" spans="2:7" ht="15" hidden="1">
      <c r="B112" s="50">
        <v>1</v>
      </c>
      <c r="C112" s="530">
        <v>2</v>
      </c>
      <c r="D112" s="530"/>
      <c r="E112" s="50">
        <v>3</v>
      </c>
      <c r="F112" s="50">
        <v>4</v>
      </c>
      <c r="G112" s="50">
        <v>5</v>
      </c>
    </row>
    <row r="113" spans="2:7" ht="15" hidden="1">
      <c r="B113" s="50"/>
      <c r="C113" s="609"/>
      <c r="D113" s="611"/>
      <c r="E113" s="170"/>
      <c r="F113" s="50"/>
      <c r="G113" s="123"/>
    </row>
    <row r="114" spans="2:7" ht="17.25" customHeight="1" hidden="1">
      <c r="B114" s="50"/>
      <c r="C114" s="567"/>
      <c r="D114" s="567"/>
      <c r="E114" s="123"/>
      <c r="F114" s="50"/>
      <c r="G114" s="123"/>
    </row>
    <row r="115" spans="1:8" s="7" customFormat="1" ht="15" hidden="1">
      <c r="A115" s="166"/>
      <c r="B115" s="585" t="s">
        <v>223</v>
      </c>
      <c r="C115" s="586"/>
      <c r="D115" s="587"/>
      <c r="E115" s="25"/>
      <c r="F115" s="122"/>
      <c r="G115" s="167">
        <f>SUM(G113:G114)</f>
        <v>0</v>
      </c>
      <c r="H115" s="166"/>
    </row>
    <row r="116" ht="15" hidden="1"/>
    <row r="117" spans="2:8" ht="15" hidden="1">
      <c r="B117" s="559" t="s">
        <v>264</v>
      </c>
      <c r="C117" s="559"/>
      <c r="D117" s="559"/>
      <c r="E117" s="559"/>
      <c r="F117" s="559"/>
      <c r="G117" s="559"/>
      <c r="H117" s="168"/>
    </row>
    <row r="118" spans="2:8" ht="15" hidden="1">
      <c r="B118" s="162"/>
      <c r="C118" s="162"/>
      <c r="D118" s="162"/>
      <c r="E118" s="162"/>
      <c r="F118" s="162"/>
      <c r="G118" s="162"/>
      <c r="H118" s="168"/>
    </row>
    <row r="119" spans="2:8" ht="15" hidden="1">
      <c r="B119" s="608" t="s">
        <v>221</v>
      </c>
      <c r="C119" s="608"/>
      <c r="D119" s="608"/>
      <c r="E119" s="608"/>
      <c r="F119" s="608"/>
      <c r="G119" s="608"/>
      <c r="H119" s="168"/>
    </row>
    <row r="120" spans="1:8" s="8" customFormat="1" ht="15" hidden="1">
      <c r="A120" s="147"/>
      <c r="B120" s="559" t="s">
        <v>265</v>
      </c>
      <c r="C120" s="559"/>
      <c r="D120" s="559"/>
      <c r="E120" s="559"/>
      <c r="F120" s="559"/>
      <c r="G120" s="559"/>
      <c r="H120" s="163"/>
    </row>
    <row r="121" spans="1:8" s="8" customFormat="1" ht="15" hidden="1">
      <c r="A121" s="147"/>
      <c r="B121" s="163"/>
      <c r="C121" s="163"/>
      <c r="D121" s="164"/>
      <c r="E121" s="163"/>
      <c r="F121" s="163"/>
      <c r="G121" s="163"/>
      <c r="H121" s="163"/>
    </row>
    <row r="122" spans="1:8" s="8" customFormat="1" ht="30.75" hidden="1">
      <c r="A122" s="147"/>
      <c r="B122" s="50" t="s">
        <v>33</v>
      </c>
      <c r="C122" s="50" t="s">
        <v>40</v>
      </c>
      <c r="D122" s="50" t="s">
        <v>44</v>
      </c>
      <c r="E122" s="50" t="s">
        <v>45</v>
      </c>
      <c r="F122" s="50" t="s">
        <v>46</v>
      </c>
      <c r="G122" s="50" t="s">
        <v>47</v>
      </c>
      <c r="H122" s="163"/>
    </row>
    <row r="123" spans="1:8" s="8" customFormat="1" ht="15" hidden="1">
      <c r="A123" s="147"/>
      <c r="B123" s="50">
        <v>1</v>
      </c>
      <c r="C123" s="50">
        <v>2</v>
      </c>
      <c r="D123" s="50">
        <v>3</v>
      </c>
      <c r="E123" s="50">
        <v>4</v>
      </c>
      <c r="F123" s="50">
        <v>5</v>
      </c>
      <c r="G123" s="50">
        <v>6</v>
      </c>
      <c r="H123" s="163"/>
    </row>
    <row r="124" spans="1:8" s="8" customFormat="1" ht="15" hidden="1">
      <c r="A124" s="147"/>
      <c r="B124" s="50"/>
      <c r="C124" s="36"/>
      <c r="D124" s="50"/>
      <c r="E124" s="50"/>
      <c r="F124" s="170"/>
      <c r="G124" s="170"/>
      <c r="H124" s="163"/>
    </row>
    <row r="125" spans="1:8" s="8" customFormat="1" ht="15" hidden="1">
      <c r="A125" s="147"/>
      <c r="B125" s="50"/>
      <c r="C125" s="36"/>
      <c r="D125" s="50"/>
      <c r="E125" s="50"/>
      <c r="F125" s="169"/>
      <c r="G125" s="123"/>
      <c r="H125" s="163"/>
    </row>
    <row r="126" spans="1:8" s="8" customFormat="1" ht="15.75" customHeight="1" hidden="1">
      <c r="A126" s="147"/>
      <c r="B126" s="585" t="s">
        <v>70</v>
      </c>
      <c r="C126" s="586"/>
      <c r="D126" s="586"/>
      <c r="E126" s="586"/>
      <c r="F126" s="587"/>
      <c r="G126" s="122">
        <f>SUM(G124:G125)</f>
        <v>0</v>
      </c>
      <c r="H126" s="163"/>
    </row>
    <row r="127" spans="1:8" s="8" customFormat="1" ht="15.75" customHeight="1" hidden="1">
      <c r="A127" s="147"/>
      <c r="B127" s="171"/>
      <c r="C127" s="171"/>
      <c r="D127" s="171"/>
      <c r="E127" s="171"/>
      <c r="F127" s="171"/>
      <c r="G127" s="178"/>
      <c r="H127" s="163"/>
    </row>
    <row r="128" spans="1:8" s="8" customFormat="1" ht="15.75" customHeight="1" hidden="1">
      <c r="A128" s="147"/>
      <c r="B128" s="559" t="s">
        <v>266</v>
      </c>
      <c r="C128" s="559"/>
      <c r="D128" s="559"/>
      <c r="E128" s="559"/>
      <c r="F128" s="559"/>
      <c r="G128" s="559"/>
      <c r="H128" s="163"/>
    </row>
    <row r="129" spans="1:8" s="8" customFormat="1" ht="15.75" customHeight="1" hidden="1">
      <c r="A129" s="147"/>
      <c r="B129" s="163"/>
      <c r="C129" s="163"/>
      <c r="D129" s="164"/>
      <c r="E129" s="163"/>
      <c r="F129" s="163"/>
      <c r="G129" s="163"/>
      <c r="H129" s="163"/>
    </row>
    <row r="130" spans="1:8" s="8" customFormat="1" ht="33" customHeight="1" hidden="1">
      <c r="A130" s="147"/>
      <c r="B130" s="50" t="s">
        <v>33</v>
      </c>
      <c r="C130" s="50" t="s">
        <v>40</v>
      </c>
      <c r="D130" s="50" t="s">
        <v>283</v>
      </c>
      <c r="E130" s="533" t="s">
        <v>284</v>
      </c>
      <c r="F130" s="535"/>
      <c r="G130" s="50" t="s">
        <v>47</v>
      </c>
      <c r="H130" s="163"/>
    </row>
    <row r="131" spans="1:8" s="8" customFormat="1" ht="15.75" customHeight="1" hidden="1">
      <c r="A131" s="147"/>
      <c r="B131" s="50">
        <v>1</v>
      </c>
      <c r="C131" s="50">
        <v>2</v>
      </c>
      <c r="D131" s="50">
        <v>3</v>
      </c>
      <c r="E131" s="533">
        <v>4</v>
      </c>
      <c r="F131" s="535"/>
      <c r="G131" s="50">
        <v>5</v>
      </c>
      <c r="H131" s="163"/>
    </row>
    <row r="132" spans="1:8" s="8" customFormat="1" ht="15.75" customHeight="1" hidden="1">
      <c r="A132" s="147"/>
      <c r="B132" s="50"/>
      <c r="C132" s="50"/>
      <c r="D132" s="50"/>
      <c r="E132" s="533"/>
      <c r="F132" s="535"/>
      <c r="G132" s="50"/>
      <c r="H132" s="163"/>
    </row>
    <row r="133" spans="1:8" s="8" customFormat="1" ht="15.75" customHeight="1" hidden="1">
      <c r="A133" s="147"/>
      <c r="B133" s="50"/>
      <c r="C133" s="36"/>
      <c r="D133" s="50"/>
      <c r="E133" s="533"/>
      <c r="F133" s="535"/>
      <c r="G133" s="123"/>
      <c r="H133" s="163"/>
    </row>
    <row r="134" spans="1:8" s="8" customFormat="1" ht="15.75" customHeight="1" hidden="1">
      <c r="A134" s="147"/>
      <c r="B134" s="585" t="s">
        <v>226</v>
      </c>
      <c r="C134" s="586"/>
      <c r="D134" s="586"/>
      <c r="E134" s="586"/>
      <c r="F134" s="587"/>
      <c r="G134" s="122">
        <f>SUM(G133:G133)</f>
        <v>0</v>
      </c>
      <c r="H134" s="163"/>
    </row>
    <row r="135" spans="1:8" s="8" customFormat="1" ht="15" hidden="1">
      <c r="A135" s="147"/>
      <c r="B135" s="171"/>
      <c r="C135" s="171"/>
      <c r="D135" s="171"/>
      <c r="E135" s="171"/>
      <c r="F135" s="171"/>
      <c r="G135" s="171"/>
      <c r="H135" s="163"/>
    </row>
    <row r="136" spans="1:8" s="8" customFormat="1" ht="21" customHeight="1" hidden="1">
      <c r="A136" s="147"/>
      <c r="B136" s="621" t="s">
        <v>267</v>
      </c>
      <c r="C136" s="621"/>
      <c r="D136" s="621"/>
      <c r="E136" s="621"/>
      <c r="F136" s="621"/>
      <c r="G136" s="621"/>
      <c r="H136" s="163"/>
    </row>
    <row r="137" spans="1:8" s="8" customFormat="1" ht="15" hidden="1">
      <c r="A137" s="147"/>
      <c r="B137" s="163"/>
      <c r="C137" s="163"/>
      <c r="D137" s="164"/>
      <c r="E137" s="163"/>
      <c r="F137" s="163"/>
      <c r="G137" s="163"/>
      <c r="H137" s="163"/>
    </row>
    <row r="138" spans="1:8" s="8" customFormat="1" ht="46.5" hidden="1">
      <c r="A138" s="147"/>
      <c r="B138" s="50" t="s">
        <v>33</v>
      </c>
      <c r="C138" s="50" t="s">
        <v>40</v>
      </c>
      <c r="D138" s="50" t="s">
        <v>84</v>
      </c>
      <c r="E138" s="50" t="s">
        <v>48</v>
      </c>
      <c r="F138" s="50" t="s">
        <v>49</v>
      </c>
      <c r="G138" s="50" t="s">
        <v>47</v>
      </c>
      <c r="H138" s="163"/>
    </row>
    <row r="139" spans="1:8" s="8" customFormat="1" ht="15" hidden="1">
      <c r="A139" s="147"/>
      <c r="B139" s="50">
        <v>1</v>
      </c>
      <c r="C139" s="50">
        <v>2</v>
      </c>
      <c r="D139" s="50">
        <v>3</v>
      </c>
      <c r="E139" s="50">
        <v>4</v>
      </c>
      <c r="F139" s="50">
        <v>5</v>
      </c>
      <c r="G139" s="50">
        <v>6</v>
      </c>
      <c r="H139" s="163"/>
    </row>
    <row r="140" spans="1:8" s="8" customFormat="1" ht="15" hidden="1">
      <c r="A140" s="147"/>
      <c r="B140" s="50"/>
      <c r="C140" s="36"/>
      <c r="D140" s="170"/>
      <c r="E140" s="50"/>
      <c r="F140" s="50"/>
      <c r="G140" s="170"/>
      <c r="H140" s="163"/>
    </row>
    <row r="141" spans="1:8" s="8" customFormat="1" ht="15" hidden="1">
      <c r="A141" s="147"/>
      <c r="B141" s="50"/>
      <c r="C141" s="50"/>
      <c r="D141" s="50"/>
      <c r="E141" s="50"/>
      <c r="F141" s="50"/>
      <c r="G141" s="50"/>
      <c r="H141" s="163"/>
    </row>
    <row r="142" spans="1:8" s="9" customFormat="1" ht="15.75" customHeight="1" hidden="1">
      <c r="A142" s="172"/>
      <c r="B142" s="585" t="s">
        <v>73</v>
      </c>
      <c r="C142" s="586"/>
      <c r="D142" s="586"/>
      <c r="E142" s="586"/>
      <c r="F142" s="587"/>
      <c r="G142" s="122">
        <f>SUM(G140:G141)</f>
        <v>0</v>
      </c>
      <c r="H142" s="22"/>
    </row>
    <row r="143" spans="1:8" s="9" customFormat="1" ht="15.75" customHeight="1" hidden="1">
      <c r="A143" s="172"/>
      <c r="B143" s="171"/>
      <c r="C143" s="171"/>
      <c r="D143" s="171"/>
      <c r="E143" s="171"/>
      <c r="F143" s="171"/>
      <c r="G143" s="178"/>
      <c r="H143" s="22"/>
    </row>
    <row r="144" spans="1:8" s="9" customFormat="1" ht="15.75" customHeight="1" hidden="1">
      <c r="A144" s="172"/>
      <c r="B144" s="582" t="s">
        <v>268</v>
      </c>
      <c r="C144" s="582"/>
      <c r="D144" s="582"/>
      <c r="E144" s="582"/>
      <c r="F144" s="582"/>
      <c r="G144" s="582"/>
      <c r="H144" s="22"/>
    </row>
    <row r="145" spans="1:8" s="9" customFormat="1" ht="15.75" customHeight="1" hidden="1">
      <c r="A145" s="172"/>
      <c r="B145" s="163"/>
      <c r="C145" s="163"/>
      <c r="D145" s="164"/>
      <c r="E145" s="163"/>
      <c r="F145" s="163"/>
      <c r="G145" s="163"/>
      <c r="H145" s="22"/>
    </row>
    <row r="146" spans="1:8" s="9" customFormat="1" ht="32.25" customHeight="1" hidden="1">
      <c r="A146" s="172"/>
      <c r="B146" s="50" t="s">
        <v>33</v>
      </c>
      <c r="C146" s="50" t="s">
        <v>40</v>
      </c>
      <c r="D146" s="50" t="s">
        <v>54</v>
      </c>
      <c r="E146" s="27" t="s">
        <v>285</v>
      </c>
      <c r="F146" s="50" t="s">
        <v>47</v>
      </c>
      <c r="G146" s="8"/>
      <c r="H146" s="22"/>
    </row>
    <row r="147" spans="1:8" s="9" customFormat="1" ht="15.75" customHeight="1" hidden="1">
      <c r="A147" s="172"/>
      <c r="B147" s="118">
        <v>1</v>
      </c>
      <c r="C147" s="118">
        <v>2</v>
      </c>
      <c r="D147" s="118">
        <v>3</v>
      </c>
      <c r="E147" s="158">
        <v>4</v>
      </c>
      <c r="F147" s="50">
        <v>5</v>
      </c>
      <c r="G147" s="8"/>
      <c r="H147" s="22"/>
    </row>
    <row r="148" spans="1:8" s="9" customFormat="1" ht="15.75" customHeight="1" hidden="1">
      <c r="A148" s="172"/>
      <c r="B148" s="118"/>
      <c r="C148" s="50"/>
      <c r="D148" s="118"/>
      <c r="E148" s="158"/>
      <c r="F148" s="187"/>
      <c r="G148" s="8"/>
      <c r="H148" s="22"/>
    </row>
    <row r="149" spans="1:8" s="9" customFormat="1" ht="15.75" customHeight="1" hidden="1">
      <c r="A149" s="172"/>
      <c r="B149" s="118"/>
      <c r="C149" s="50"/>
      <c r="D149" s="118"/>
      <c r="E149" s="158"/>
      <c r="F149" s="187"/>
      <c r="G149" s="8"/>
      <c r="H149" s="22"/>
    </row>
    <row r="150" spans="1:8" s="8" customFormat="1" ht="15" hidden="1">
      <c r="A150" s="147"/>
      <c r="B150" s="574" t="s">
        <v>227</v>
      </c>
      <c r="C150" s="575"/>
      <c r="D150" s="575"/>
      <c r="E150" s="576"/>
      <c r="F150" s="122">
        <f>SUM(F148:F149)</f>
        <v>0</v>
      </c>
      <c r="G150" s="9"/>
      <c r="H150" s="163"/>
    </row>
    <row r="151" spans="1:8" s="8" customFormat="1" ht="15" hidden="1">
      <c r="A151" s="147"/>
      <c r="B151" s="176"/>
      <c r="C151" s="176"/>
      <c r="D151" s="176"/>
      <c r="E151" s="176"/>
      <c r="F151" s="178"/>
      <c r="G151" s="9"/>
      <c r="H151" s="163"/>
    </row>
    <row r="152" spans="1:8" s="8" customFormat="1" ht="15" hidden="1">
      <c r="A152" s="147"/>
      <c r="B152" s="582" t="s">
        <v>269</v>
      </c>
      <c r="C152" s="582"/>
      <c r="D152" s="582"/>
      <c r="E152" s="582"/>
      <c r="F152" s="582"/>
      <c r="G152" s="582"/>
      <c r="H152" s="163"/>
    </row>
    <row r="153" spans="1:8" s="8" customFormat="1" ht="15" hidden="1">
      <c r="A153" s="147"/>
      <c r="B153" s="163"/>
      <c r="C153" s="163"/>
      <c r="D153" s="164"/>
      <c r="E153" s="163"/>
      <c r="F153" s="163"/>
      <c r="G153" s="163"/>
      <c r="H153" s="163"/>
    </row>
    <row r="154" spans="1:8" s="8" customFormat="1" ht="32.25" customHeight="1" hidden="1">
      <c r="A154" s="147"/>
      <c r="B154" s="50" t="s">
        <v>33</v>
      </c>
      <c r="C154" s="50" t="s">
        <v>40</v>
      </c>
      <c r="D154" s="50" t="s">
        <v>50</v>
      </c>
      <c r="E154" s="27" t="s">
        <v>51</v>
      </c>
      <c r="F154" s="50" t="s">
        <v>47</v>
      </c>
      <c r="H154" s="163"/>
    </row>
    <row r="155" spans="1:8" s="8" customFormat="1" ht="15" hidden="1">
      <c r="A155" s="147"/>
      <c r="B155" s="118">
        <v>1</v>
      </c>
      <c r="C155" s="118">
        <v>2</v>
      </c>
      <c r="D155" s="118">
        <v>3</v>
      </c>
      <c r="E155" s="158">
        <v>4</v>
      </c>
      <c r="F155" s="50">
        <v>5</v>
      </c>
      <c r="H155" s="163"/>
    </row>
    <row r="156" spans="1:8" s="8" customFormat="1" ht="15" hidden="1">
      <c r="A156" s="147"/>
      <c r="B156" s="118"/>
      <c r="C156" s="36"/>
      <c r="D156" s="118"/>
      <c r="E156" s="158"/>
      <c r="F156" s="187"/>
      <c r="H156" s="174"/>
    </row>
    <row r="157" spans="1:8" s="8" customFormat="1" ht="15" hidden="1">
      <c r="A157" s="147"/>
      <c r="B157" s="118"/>
      <c r="C157" s="36"/>
      <c r="D157" s="118"/>
      <c r="E157" s="158"/>
      <c r="F157" s="187"/>
      <c r="H157" s="174"/>
    </row>
    <row r="158" spans="1:8" s="9" customFormat="1" ht="15" hidden="1">
      <c r="A158" s="172"/>
      <c r="B158" s="574" t="s">
        <v>69</v>
      </c>
      <c r="C158" s="575"/>
      <c r="D158" s="575"/>
      <c r="E158" s="576"/>
      <c r="F158" s="122">
        <f>SUM(F156:F157)</f>
        <v>0</v>
      </c>
      <c r="H158" s="175"/>
    </row>
    <row r="159" spans="1:8" s="9" customFormat="1" ht="15" hidden="1">
      <c r="A159" s="172"/>
      <c r="B159" s="176"/>
      <c r="C159" s="177"/>
      <c r="D159" s="176"/>
      <c r="E159" s="176"/>
      <c r="F159" s="176"/>
      <c r="G159" s="178"/>
      <c r="H159" s="175"/>
    </row>
    <row r="160" spans="1:8" s="8" customFormat="1" ht="15" hidden="1">
      <c r="A160" s="147"/>
      <c r="B160" s="559" t="s">
        <v>270</v>
      </c>
      <c r="C160" s="559"/>
      <c r="D160" s="559"/>
      <c r="E160" s="559"/>
      <c r="F160" s="559"/>
      <c r="G160" s="559"/>
      <c r="H160" s="163"/>
    </row>
    <row r="161" spans="1:8" s="8" customFormat="1" ht="15" hidden="1">
      <c r="A161" s="147"/>
      <c r="B161" s="163"/>
      <c r="C161" s="163"/>
      <c r="D161" s="164"/>
      <c r="E161" s="163"/>
      <c r="F161" s="163"/>
      <c r="G161" s="163"/>
      <c r="H161" s="163"/>
    </row>
    <row r="162" spans="1:8" s="8" customFormat="1" ht="30.75" hidden="1">
      <c r="A162" s="147"/>
      <c r="B162" s="50" t="s">
        <v>33</v>
      </c>
      <c r="C162" s="533" t="s">
        <v>40</v>
      </c>
      <c r="D162" s="534"/>
      <c r="E162" s="535"/>
      <c r="F162" s="50" t="s">
        <v>52</v>
      </c>
      <c r="G162" s="50" t="s">
        <v>53</v>
      </c>
      <c r="H162" s="163"/>
    </row>
    <row r="163" spans="1:8" s="8" customFormat="1" ht="15" hidden="1">
      <c r="A163" s="147"/>
      <c r="B163" s="26">
        <v>1</v>
      </c>
      <c r="C163" s="615">
        <v>2</v>
      </c>
      <c r="D163" s="633"/>
      <c r="E163" s="616"/>
      <c r="F163" s="26">
        <v>3</v>
      </c>
      <c r="G163" s="26">
        <v>4</v>
      </c>
      <c r="H163" s="163"/>
    </row>
    <row r="164" spans="1:8" s="8" customFormat="1" ht="15" hidden="1">
      <c r="A164" s="147"/>
      <c r="B164" s="118"/>
      <c r="C164" s="571"/>
      <c r="D164" s="572"/>
      <c r="E164" s="573"/>
      <c r="F164" s="173"/>
      <c r="G164" s="179"/>
      <c r="H164" s="174"/>
    </row>
    <row r="165" spans="1:8" s="8" customFormat="1" ht="25.5" customHeight="1" hidden="1">
      <c r="A165" s="147"/>
      <c r="B165" s="574" t="s">
        <v>71</v>
      </c>
      <c r="C165" s="575"/>
      <c r="D165" s="575"/>
      <c r="E165" s="575"/>
      <c r="F165" s="576"/>
      <c r="G165" s="180">
        <f>SUM(G164:G164)</f>
        <v>0</v>
      </c>
      <c r="H165" s="163"/>
    </row>
    <row r="166" spans="1:8" s="8" customFormat="1" ht="15" hidden="1">
      <c r="A166" s="147"/>
      <c r="B166" s="181"/>
      <c r="C166" s="182"/>
      <c r="D166" s="182"/>
      <c r="E166" s="182"/>
      <c r="F166" s="181"/>
      <c r="G166" s="183"/>
      <c r="H166" s="163"/>
    </row>
    <row r="167" spans="1:8" s="8" customFormat="1" ht="17.25" customHeight="1" hidden="1">
      <c r="A167" s="147"/>
      <c r="B167" s="561" t="s">
        <v>271</v>
      </c>
      <c r="C167" s="561"/>
      <c r="D167" s="561"/>
      <c r="E167" s="561"/>
      <c r="F167" s="561"/>
      <c r="G167" s="561"/>
      <c r="H167" s="163"/>
    </row>
    <row r="168" spans="1:8" s="8" customFormat="1" ht="15" hidden="1">
      <c r="A168" s="147"/>
      <c r="B168" s="206"/>
      <c r="C168" s="206"/>
      <c r="D168" s="206"/>
      <c r="E168" s="206"/>
      <c r="F168" s="206"/>
      <c r="G168" s="206"/>
      <c r="H168" s="163"/>
    </row>
    <row r="169" spans="1:8" s="8" customFormat="1" ht="30.75" hidden="1">
      <c r="A169" s="147"/>
      <c r="B169" s="50" t="s">
        <v>33</v>
      </c>
      <c r="C169" s="530" t="s">
        <v>40</v>
      </c>
      <c r="D169" s="530"/>
      <c r="E169" s="50" t="s">
        <v>54</v>
      </c>
      <c r="F169" s="50" t="s">
        <v>55</v>
      </c>
      <c r="G169" s="50" t="s">
        <v>47</v>
      </c>
      <c r="H169" s="163"/>
    </row>
    <row r="170" spans="1:8" s="8" customFormat="1" ht="15" hidden="1">
      <c r="A170" s="147"/>
      <c r="B170" s="26">
        <v>1</v>
      </c>
      <c r="C170" s="615">
        <v>2</v>
      </c>
      <c r="D170" s="616"/>
      <c r="E170" s="26">
        <v>3</v>
      </c>
      <c r="F170" s="26">
        <v>4</v>
      </c>
      <c r="G170" s="50">
        <v>5</v>
      </c>
      <c r="H170" s="163"/>
    </row>
    <row r="171" spans="1:8" s="8" customFormat="1" ht="15" hidden="1">
      <c r="A171" s="147"/>
      <c r="B171" s="26"/>
      <c r="C171" s="615"/>
      <c r="D171" s="616"/>
      <c r="E171" s="26"/>
      <c r="F171" s="26"/>
      <c r="G171" s="50"/>
      <c r="H171" s="163"/>
    </row>
    <row r="172" spans="1:8" s="8" customFormat="1" ht="15" hidden="1">
      <c r="A172" s="147"/>
      <c r="B172" s="26"/>
      <c r="C172" s="569"/>
      <c r="D172" s="569"/>
      <c r="E172" s="173"/>
      <c r="F172" s="184"/>
      <c r="G172" s="184"/>
      <c r="H172" s="174"/>
    </row>
    <row r="173" spans="1:8" s="8" customFormat="1" ht="15" hidden="1">
      <c r="A173" s="147"/>
      <c r="B173" s="574" t="s">
        <v>60</v>
      </c>
      <c r="C173" s="575"/>
      <c r="D173" s="575"/>
      <c r="E173" s="575"/>
      <c r="F173" s="576"/>
      <c r="G173" s="161">
        <f>SUM(G172)</f>
        <v>0</v>
      </c>
      <c r="H173" s="174"/>
    </row>
    <row r="174" spans="1:8" s="8" customFormat="1" ht="15" hidden="1">
      <c r="A174" s="147"/>
      <c r="B174" s="181"/>
      <c r="C174" s="182"/>
      <c r="D174" s="182"/>
      <c r="E174" s="182"/>
      <c r="F174" s="181"/>
      <c r="G174" s="183"/>
      <c r="H174" s="174"/>
    </row>
    <row r="175" spans="1:8" s="8" customFormat="1" ht="15" hidden="1">
      <c r="A175" s="147"/>
      <c r="B175" s="559" t="s">
        <v>270</v>
      </c>
      <c r="C175" s="559"/>
      <c r="D175" s="559"/>
      <c r="E175" s="559"/>
      <c r="F175" s="559"/>
      <c r="G175" s="559"/>
      <c r="H175" s="163"/>
    </row>
    <row r="176" spans="1:8" s="8" customFormat="1" ht="9.75" customHeight="1" hidden="1">
      <c r="A176" s="147"/>
      <c r="B176" s="163"/>
      <c r="C176" s="163"/>
      <c r="D176" s="164"/>
      <c r="E176" s="163"/>
      <c r="F176" s="163"/>
      <c r="G176" s="163"/>
      <c r="H176" s="163"/>
    </row>
    <row r="177" spans="1:8" s="8" customFormat="1" ht="30.75" hidden="1">
      <c r="A177" s="147"/>
      <c r="B177" s="50" t="s">
        <v>33</v>
      </c>
      <c r="C177" s="533" t="s">
        <v>40</v>
      </c>
      <c r="D177" s="534"/>
      <c r="E177" s="535"/>
      <c r="F177" s="50" t="s">
        <v>52</v>
      </c>
      <c r="G177" s="50" t="s">
        <v>53</v>
      </c>
      <c r="H177" s="163"/>
    </row>
    <row r="178" spans="1:8" s="8" customFormat="1" ht="15" hidden="1">
      <c r="A178" s="147"/>
      <c r="B178" s="26">
        <v>1</v>
      </c>
      <c r="C178" s="615">
        <v>2</v>
      </c>
      <c r="D178" s="633"/>
      <c r="E178" s="616"/>
      <c r="F178" s="26">
        <v>3</v>
      </c>
      <c r="G178" s="26">
        <v>4</v>
      </c>
      <c r="H178" s="163"/>
    </row>
    <row r="179" spans="1:8" s="8" customFormat="1" ht="15" hidden="1">
      <c r="A179" s="147"/>
      <c r="B179" s="118">
        <v>1</v>
      </c>
      <c r="C179" s="571" t="s">
        <v>515</v>
      </c>
      <c r="D179" s="572"/>
      <c r="E179" s="573"/>
      <c r="F179" s="173" t="s">
        <v>313</v>
      </c>
      <c r="G179" s="179">
        <v>792350</v>
      </c>
      <c r="H179" s="174"/>
    </row>
    <row r="180" spans="1:8" s="8" customFormat="1" ht="15" hidden="1">
      <c r="A180" s="147"/>
      <c r="B180" s="574" t="s">
        <v>71</v>
      </c>
      <c r="C180" s="575"/>
      <c r="D180" s="575"/>
      <c r="E180" s="575"/>
      <c r="F180" s="576"/>
      <c r="G180" s="180">
        <f>SUM(G179:G179)</f>
        <v>792350</v>
      </c>
      <c r="H180" s="163"/>
    </row>
    <row r="181" spans="2:8" ht="15" hidden="1">
      <c r="B181" s="574" t="s">
        <v>527</v>
      </c>
      <c r="C181" s="575"/>
      <c r="D181" s="575"/>
      <c r="E181" s="575"/>
      <c r="F181" s="576"/>
      <c r="G181" s="314">
        <f>G180</f>
        <v>792350</v>
      </c>
      <c r="H181" s="189"/>
    </row>
    <row r="182" spans="2:8" ht="7.5" customHeight="1" hidden="1">
      <c r="B182" s="150"/>
      <c r="C182" s="150"/>
      <c r="D182" s="150"/>
      <c r="E182" s="150"/>
      <c r="F182" s="150"/>
      <c r="G182" s="150"/>
      <c r="H182" s="150"/>
    </row>
    <row r="183" spans="1:8" s="8" customFormat="1" ht="15" hidden="1">
      <c r="A183" s="147"/>
      <c r="B183" s="562" t="s">
        <v>272</v>
      </c>
      <c r="C183" s="562"/>
      <c r="D183" s="562"/>
      <c r="E183" s="562"/>
      <c r="F183" s="562"/>
      <c r="G183" s="562"/>
      <c r="H183" s="174"/>
    </row>
    <row r="184" spans="1:8" s="8" customFormat="1" ht="3.75" customHeight="1" hidden="1">
      <c r="A184" s="147"/>
      <c r="B184" s="181"/>
      <c r="C184" s="182"/>
      <c r="D184" s="182"/>
      <c r="E184" s="182"/>
      <c r="F184" s="181"/>
      <c r="G184" s="183"/>
      <c r="H184" s="174"/>
    </row>
    <row r="185" spans="1:8" s="8" customFormat="1" ht="30.75" hidden="1">
      <c r="A185" s="147"/>
      <c r="B185" s="50" t="s">
        <v>33</v>
      </c>
      <c r="C185" s="533" t="s">
        <v>40</v>
      </c>
      <c r="D185" s="534"/>
      <c r="E185" s="535"/>
      <c r="F185" s="50" t="s">
        <v>52</v>
      </c>
      <c r="G185" s="50" t="s">
        <v>53</v>
      </c>
      <c r="H185" s="174"/>
    </row>
    <row r="186" spans="1:8" s="8" customFormat="1" ht="15" hidden="1">
      <c r="A186" s="147"/>
      <c r="B186" s="26">
        <v>1</v>
      </c>
      <c r="C186" s="615">
        <v>2</v>
      </c>
      <c r="D186" s="633"/>
      <c r="E186" s="616"/>
      <c r="F186" s="26">
        <v>3</v>
      </c>
      <c r="G186" s="26">
        <v>4</v>
      </c>
      <c r="H186" s="163"/>
    </row>
    <row r="187" spans="1:8" s="8" customFormat="1" ht="2.25" customHeight="1" hidden="1">
      <c r="A187" s="147"/>
      <c r="B187" s="118">
        <v>1</v>
      </c>
      <c r="C187" s="571" t="s">
        <v>442</v>
      </c>
      <c r="D187" s="617"/>
      <c r="E187" s="618"/>
      <c r="F187" s="173">
        <v>1</v>
      </c>
      <c r="G187" s="184">
        <f>5950000+400000+7550189.2</f>
        <v>13900189.2</v>
      </c>
      <c r="H187" s="174"/>
    </row>
    <row r="188" spans="1:8" s="8" customFormat="1" ht="15" hidden="1">
      <c r="A188" s="147"/>
      <c r="B188" s="118"/>
      <c r="C188" s="571"/>
      <c r="D188" s="617"/>
      <c r="E188" s="618"/>
      <c r="F188" s="173"/>
      <c r="G188" s="184"/>
      <c r="H188" s="174"/>
    </row>
    <row r="189" spans="1:8" s="8" customFormat="1" ht="15" hidden="1">
      <c r="A189" s="147"/>
      <c r="B189" s="574" t="s">
        <v>74</v>
      </c>
      <c r="C189" s="575"/>
      <c r="D189" s="575"/>
      <c r="E189" s="575"/>
      <c r="F189" s="576"/>
      <c r="G189" s="161">
        <f>SUM(G187:G187)</f>
        <v>13900189.2</v>
      </c>
      <c r="H189" s="174"/>
    </row>
    <row r="190" spans="1:8" s="8" customFormat="1" ht="15" hidden="1">
      <c r="A190" s="147"/>
      <c r="B190" s="665" t="s">
        <v>493</v>
      </c>
      <c r="C190" s="666"/>
      <c r="D190" s="666"/>
      <c r="E190" s="666"/>
      <c r="F190" s="667"/>
      <c r="G190" s="161">
        <f>G187-G223</f>
        <v>6950094.6</v>
      </c>
      <c r="H190" s="174"/>
    </row>
    <row r="191" spans="1:8" s="8" customFormat="1" ht="15" hidden="1">
      <c r="A191" s="147"/>
      <c r="B191" s="559" t="s">
        <v>273</v>
      </c>
      <c r="C191" s="559"/>
      <c r="D191" s="559"/>
      <c r="E191" s="559"/>
      <c r="F191" s="559"/>
      <c r="G191" s="559"/>
      <c r="H191" s="163"/>
    </row>
    <row r="192" spans="1:8" s="8" customFormat="1" ht="15" hidden="1">
      <c r="A192" s="147"/>
      <c r="B192" s="163"/>
      <c r="C192" s="163"/>
      <c r="D192" s="164"/>
      <c r="E192" s="163"/>
      <c r="F192" s="163"/>
      <c r="G192" s="163"/>
      <c r="H192" s="163"/>
    </row>
    <row r="193" spans="1:8" s="8" customFormat="1" ht="30.75" hidden="1">
      <c r="A193" s="147"/>
      <c r="B193" s="50" t="s">
        <v>33</v>
      </c>
      <c r="C193" s="533" t="s">
        <v>40</v>
      </c>
      <c r="D193" s="535"/>
      <c r="E193" s="50" t="s">
        <v>54</v>
      </c>
      <c r="F193" s="50" t="s">
        <v>55</v>
      </c>
      <c r="G193" s="50" t="s">
        <v>47</v>
      </c>
      <c r="H193" s="163"/>
    </row>
    <row r="194" spans="1:8" s="8" customFormat="1" ht="15" hidden="1">
      <c r="A194" s="147"/>
      <c r="B194" s="27">
        <v>1</v>
      </c>
      <c r="C194" s="619">
        <v>2</v>
      </c>
      <c r="D194" s="620"/>
      <c r="E194" s="173">
        <v>3</v>
      </c>
      <c r="F194" s="193">
        <v>4</v>
      </c>
      <c r="G194" s="30">
        <v>5</v>
      </c>
      <c r="H194" s="163"/>
    </row>
    <row r="195" spans="1:8" s="8" customFormat="1" ht="15" hidden="1">
      <c r="A195" s="147"/>
      <c r="B195" s="27"/>
      <c r="C195" s="571"/>
      <c r="D195" s="573"/>
      <c r="E195" s="173"/>
      <c r="F195" s="218"/>
      <c r="G195" s="30"/>
      <c r="H195" s="163"/>
    </row>
    <row r="196" spans="1:8" s="8" customFormat="1" ht="15" hidden="1">
      <c r="A196" s="147"/>
      <c r="B196" s="50"/>
      <c r="C196" s="569"/>
      <c r="D196" s="570"/>
      <c r="E196" s="173"/>
      <c r="F196" s="179"/>
      <c r="G196" s="123"/>
      <c r="H196" s="163"/>
    </row>
    <row r="197" spans="1:8" s="8" customFormat="1" ht="15" hidden="1">
      <c r="A197" s="147"/>
      <c r="B197" s="574" t="s">
        <v>57</v>
      </c>
      <c r="C197" s="575"/>
      <c r="D197" s="575"/>
      <c r="E197" s="575"/>
      <c r="F197" s="576"/>
      <c r="G197" s="68">
        <f>G195+G196</f>
        <v>0</v>
      </c>
      <c r="H197" s="163"/>
    </row>
    <row r="198" spans="1:9" s="8" customFormat="1" ht="15" hidden="1">
      <c r="A198" s="188"/>
      <c r="B198" s="176"/>
      <c r="C198" s="176"/>
      <c r="D198" s="176"/>
      <c r="E198" s="176"/>
      <c r="F198" s="189"/>
      <c r="G198" s="190"/>
      <c r="H198" s="191"/>
      <c r="I198" s="192"/>
    </row>
    <row r="199" spans="1:8" s="8" customFormat="1" ht="33" customHeight="1" hidden="1">
      <c r="A199" s="147"/>
      <c r="B199" s="582" t="s">
        <v>274</v>
      </c>
      <c r="C199" s="582"/>
      <c r="D199" s="582"/>
      <c r="E199" s="582"/>
      <c r="F199" s="582"/>
      <c r="G199" s="582"/>
      <c r="H199" s="163"/>
    </row>
    <row r="200" spans="1:8" s="8" customFormat="1" ht="15" hidden="1">
      <c r="A200" s="147"/>
      <c r="B200" s="163"/>
      <c r="C200" s="163"/>
      <c r="D200" s="164"/>
      <c r="E200" s="163"/>
      <c r="F200" s="163"/>
      <c r="G200" s="163"/>
      <c r="H200" s="163"/>
    </row>
    <row r="201" spans="1:8" s="8" customFormat="1" ht="30.75" hidden="1">
      <c r="A201" s="147"/>
      <c r="B201" s="50" t="s">
        <v>33</v>
      </c>
      <c r="C201" s="533" t="s">
        <v>40</v>
      </c>
      <c r="D201" s="535"/>
      <c r="E201" s="50" t="s">
        <v>54</v>
      </c>
      <c r="F201" s="50" t="s">
        <v>55</v>
      </c>
      <c r="G201" s="50" t="s">
        <v>47</v>
      </c>
      <c r="H201" s="163"/>
    </row>
    <row r="202" spans="1:8" s="8" customFormat="1" ht="15" hidden="1">
      <c r="A202" s="147"/>
      <c r="B202" s="194">
        <v>1</v>
      </c>
      <c r="C202" s="580">
        <v>2</v>
      </c>
      <c r="D202" s="581"/>
      <c r="E202" s="193">
        <v>3</v>
      </c>
      <c r="F202" s="193">
        <v>4</v>
      </c>
      <c r="G202" s="30">
        <v>5</v>
      </c>
      <c r="H202" s="163"/>
    </row>
    <row r="203" spans="1:8" s="8" customFormat="1" ht="15" hidden="1">
      <c r="A203" s="147"/>
      <c r="B203" s="27"/>
      <c r="C203" s="619"/>
      <c r="D203" s="627"/>
      <c r="E203" s="173"/>
      <c r="F203" s="179"/>
      <c r="G203" s="123"/>
      <c r="H203" s="163"/>
    </row>
    <row r="204" spans="1:8" s="8" customFormat="1" ht="15" hidden="1">
      <c r="A204" s="147"/>
      <c r="B204" s="50"/>
      <c r="C204" s="569"/>
      <c r="D204" s="570"/>
      <c r="E204" s="173"/>
      <c r="F204" s="179"/>
      <c r="G204" s="123"/>
      <c r="H204" s="163"/>
    </row>
    <row r="205" spans="1:8" s="8" customFormat="1" ht="15" hidden="1">
      <c r="A205" s="147"/>
      <c r="B205" s="574" t="s">
        <v>228</v>
      </c>
      <c r="C205" s="575"/>
      <c r="D205" s="575"/>
      <c r="E205" s="575"/>
      <c r="F205" s="576"/>
      <c r="G205" s="68">
        <v>0</v>
      </c>
      <c r="H205" s="163"/>
    </row>
    <row r="206" ht="15" hidden="1"/>
    <row r="207" spans="1:8" s="8" customFormat="1" ht="15" hidden="1">
      <c r="A207" s="147"/>
      <c r="B207" s="559" t="s">
        <v>275</v>
      </c>
      <c r="C207" s="559"/>
      <c r="D207" s="559"/>
      <c r="E207" s="559"/>
      <c r="F207" s="559"/>
      <c r="G207" s="559"/>
      <c r="H207" s="163"/>
    </row>
    <row r="208" spans="1:8" s="8" customFormat="1" ht="15" hidden="1">
      <c r="A208" s="147"/>
      <c r="B208" s="163"/>
      <c r="C208" s="163"/>
      <c r="D208" s="164"/>
      <c r="E208" s="163"/>
      <c r="F208" s="163"/>
      <c r="G208" s="163"/>
      <c r="H208" s="163"/>
    </row>
    <row r="209" spans="1:8" s="8" customFormat="1" ht="30.75" hidden="1">
      <c r="A209" s="147"/>
      <c r="B209" s="50" t="s">
        <v>33</v>
      </c>
      <c r="C209" s="533" t="s">
        <v>40</v>
      </c>
      <c r="D209" s="535"/>
      <c r="E209" s="50" t="s">
        <v>54</v>
      </c>
      <c r="F209" s="50" t="s">
        <v>55</v>
      </c>
      <c r="G209" s="50" t="s">
        <v>47</v>
      </c>
      <c r="H209" s="163"/>
    </row>
    <row r="210" spans="1:8" s="8" customFormat="1" ht="15" hidden="1">
      <c r="A210" s="147"/>
      <c r="B210" s="194">
        <v>1</v>
      </c>
      <c r="C210" s="580">
        <v>2</v>
      </c>
      <c r="D210" s="581"/>
      <c r="E210" s="193">
        <v>3</v>
      </c>
      <c r="F210" s="193">
        <v>4</v>
      </c>
      <c r="G210" s="30">
        <v>5</v>
      </c>
      <c r="H210" s="163"/>
    </row>
    <row r="211" spans="1:8" s="8" customFormat="1" ht="15" hidden="1">
      <c r="A211" s="147"/>
      <c r="B211" s="27"/>
      <c r="C211" s="619"/>
      <c r="D211" s="627"/>
      <c r="E211" s="173"/>
      <c r="F211" s="179"/>
      <c r="G211" s="123"/>
      <c r="H211" s="163"/>
    </row>
    <row r="212" spans="1:8" s="8" customFormat="1" ht="15" hidden="1">
      <c r="A212" s="147"/>
      <c r="B212" s="50"/>
      <c r="C212" s="569"/>
      <c r="D212" s="570"/>
      <c r="E212" s="173"/>
      <c r="F212" s="179"/>
      <c r="G212" s="123"/>
      <c r="H212" s="163"/>
    </row>
    <row r="213" spans="1:8" s="8" customFormat="1" ht="15" hidden="1">
      <c r="A213" s="147"/>
      <c r="B213" s="574" t="s">
        <v>229</v>
      </c>
      <c r="C213" s="575"/>
      <c r="D213" s="575"/>
      <c r="E213" s="575"/>
      <c r="F213" s="576"/>
      <c r="G213" s="68">
        <v>0</v>
      </c>
      <c r="H213" s="163"/>
    </row>
    <row r="214" ht="15" hidden="1"/>
    <row r="215" spans="1:8" s="8" customFormat="1" ht="15" hidden="1">
      <c r="A215" s="147"/>
      <c r="B215" s="559" t="s">
        <v>276</v>
      </c>
      <c r="C215" s="559"/>
      <c r="D215" s="559"/>
      <c r="E215" s="559"/>
      <c r="F215" s="559"/>
      <c r="G215" s="559"/>
      <c r="H215" s="163"/>
    </row>
    <row r="216" spans="1:8" s="8" customFormat="1" ht="15" hidden="1">
      <c r="A216" s="147"/>
      <c r="B216" s="163"/>
      <c r="C216" s="163"/>
      <c r="D216" s="164"/>
      <c r="E216" s="163"/>
      <c r="F216" s="163"/>
      <c r="G216" s="163"/>
      <c r="H216" s="163"/>
    </row>
    <row r="217" spans="1:8" s="8" customFormat="1" ht="30.75" hidden="1">
      <c r="A217" s="147"/>
      <c r="B217" s="50" t="s">
        <v>33</v>
      </c>
      <c r="C217" s="533" t="s">
        <v>40</v>
      </c>
      <c r="D217" s="535"/>
      <c r="E217" s="50" t="s">
        <v>54</v>
      </c>
      <c r="F217" s="50" t="s">
        <v>55</v>
      </c>
      <c r="G217" s="50" t="s">
        <v>47</v>
      </c>
      <c r="H217" s="163"/>
    </row>
    <row r="218" spans="1:8" s="8" customFormat="1" ht="15" hidden="1">
      <c r="A218" s="147"/>
      <c r="B218" s="194">
        <v>1</v>
      </c>
      <c r="C218" s="580">
        <v>2</v>
      </c>
      <c r="D218" s="581"/>
      <c r="E218" s="193">
        <v>3</v>
      </c>
      <c r="F218" s="193">
        <v>4</v>
      </c>
      <c r="G218" s="30">
        <v>5</v>
      </c>
      <c r="H218" s="163"/>
    </row>
    <row r="219" spans="1:8" s="8" customFormat="1" ht="15" hidden="1">
      <c r="A219" s="147"/>
      <c r="B219" s="27"/>
      <c r="C219" s="571"/>
      <c r="D219" s="573"/>
      <c r="E219" s="173"/>
      <c r="F219" s="179"/>
      <c r="G219" s="123"/>
      <c r="H219" s="163"/>
    </row>
    <row r="220" spans="1:8" s="8" customFormat="1" ht="15" hidden="1">
      <c r="A220" s="147"/>
      <c r="B220" s="50"/>
      <c r="C220" s="569"/>
      <c r="D220" s="570"/>
      <c r="E220" s="173"/>
      <c r="F220" s="179"/>
      <c r="G220" s="123"/>
      <c r="H220" s="163"/>
    </row>
    <row r="221" spans="1:8" s="8" customFormat="1" ht="15" hidden="1">
      <c r="A221" s="147"/>
      <c r="B221" s="574" t="s">
        <v>230</v>
      </c>
      <c r="C221" s="575"/>
      <c r="D221" s="575"/>
      <c r="E221" s="575"/>
      <c r="F221" s="576"/>
      <c r="G221" s="68">
        <f>G219+G220</f>
        <v>0</v>
      </c>
      <c r="H221" s="163"/>
    </row>
    <row r="222" ht="15" hidden="1"/>
    <row r="223" spans="1:8" s="8" customFormat="1" ht="15" hidden="1">
      <c r="A223" s="147"/>
      <c r="B223" s="574" t="s">
        <v>495</v>
      </c>
      <c r="C223" s="575"/>
      <c r="D223" s="575"/>
      <c r="E223" s="575"/>
      <c r="F223" s="576"/>
      <c r="G223" s="161">
        <v>6950094.6</v>
      </c>
      <c r="H223" s="174"/>
    </row>
    <row r="224" spans="1:8" s="8" customFormat="1" ht="19.5" customHeight="1" hidden="1">
      <c r="A224" s="147"/>
      <c r="B224" s="559" t="s">
        <v>273</v>
      </c>
      <c r="C224" s="559"/>
      <c r="D224" s="559"/>
      <c r="E224" s="559"/>
      <c r="F224" s="559"/>
      <c r="G224" s="559"/>
      <c r="H224" s="163"/>
    </row>
    <row r="225" spans="1:8" s="8" customFormat="1" ht="5.25" customHeight="1" hidden="1">
      <c r="A225" s="147"/>
      <c r="B225" s="163"/>
      <c r="C225" s="163"/>
      <c r="D225" s="164"/>
      <c r="E225" s="163"/>
      <c r="F225" s="163"/>
      <c r="G225" s="163"/>
      <c r="H225" s="163"/>
    </row>
    <row r="226" spans="1:8" s="8" customFormat="1" ht="30.75" hidden="1">
      <c r="A226" s="147"/>
      <c r="B226" s="50" t="s">
        <v>33</v>
      </c>
      <c r="C226" s="530" t="s">
        <v>40</v>
      </c>
      <c r="D226" s="530"/>
      <c r="E226" s="530"/>
      <c r="F226" s="50" t="s">
        <v>54</v>
      </c>
      <c r="G226" s="50" t="s">
        <v>55</v>
      </c>
      <c r="H226" s="50" t="s">
        <v>47</v>
      </c>
    </row>
    <row r="227" spans="1:8" s="8" customFormat="1" ht="15" hidden="1">
      <c r="A227" s="147"/>
      <c r="B227" s="27">
        <v>1</v>
      </c>
      <c r="C227" s="656">
        <v>2</v>
      </c>
      <c r="D227" s="656"/>
      <c r="E227" s="656"/>
      <c r="F227" s="173">
        <v>3</v>
      </c>
      <c r="G227" s="193">
        <v>4</v>
      </c>
      <c r="H227" s="30">
        <v>5</v>
      </c>
    </row>
    <row r="228" spans="1:9" s="8" customFormat="1" ht="21" customHeight="1" hidden="1">
      <c r="A228" s="147"/>
      <c r="B228" s="27">
        <v>1</v>
      </c>
      <c r="C228" s="569" t="s">
        <v>497</v>
      </c>
      <c r="D228" s="569"/>
      <c r="E228" s="569"/>
      <c r="F228" s="173">
        <v>13</v>
      </c>
      <c r="G228" s="240">
        <f>H228/F228</f>
        <v>4876.923076923077</v>
      </c>
      <c r="H228" s="238">
        <v>63400</v>
      </c>
      <c r="I228" s="319"/>
    </row>
    <row r="229" spans="1:9" s="8" customFormat="1" ht="31.5" customHeight="1" hidden="1">
      <c r="A229" s="147"/>
      <c r="B229" s="27">
        <v>2</v>
      </c>
      <c r="C229" s="569" t="s">
        <v>498</v>
      </c>
      <c r="D229" s="569"/>
      <c r="E229" s="569"/>
      <c r="F229" s="173">
        <v>18</v>
      </c>
      <c r="G229" s="240">
        <v>2000</v>
      </c>
      <c r="H229" s="238">
        <f aca="true" t="shared" si="0" ref="H229:H234">F229*G229</f>
        <v>36000</v>
      </c>
      <c r="I229" s="319"/>
    </row>
    <row r="230" spans="1:9" s="8" customFormat="1" ht="17.25" customHeight="1" hidden="1">
      <c r="A230" s="147"/>
      <c r="B230" s="50">
        <v>3</v>
      </c>
      <c r="C230" s="569" t="s">
        <v>508</v>
      </c>
      <c r="D230" s="569"/>
      <c r="E230" s="569"/>
      <c r="F230" s="173">
        <v>3</v>
      </c>
      <c r="G230" s="240">
        <v>3000</v>
      </c>
      <c r="H230" s="238">
        <f t="shared" si="0"/>
        <v>9000</v>
      </c>
      <c r="I230" s="319"/>
    </row>
    <row r="231" spans="1:9" s="8" customFormat="1" ht="16.5" customHeight="1" hidden="1">
      <c r="A231" s="147"/>
      <c r="B231" s="50">
        <v>4</v>
      </c>
      <c r="C231" s="569" t="s">
        <v>509</v>
      </c>
      <c r="D231" s="569"/>
      <c r="E231" s="569"/>
      <c r="F231" s="173">
        <v>13</v>
      </c>
      <c r="G231" s="240">
        <v>11000</v>
      </c>
      <c r="H231" s="238">
        <f t="shared" si="0"/>
        <v>143000</v>
      </c>
      <c r="I231" s="319"/>
    </row>
    <row r="232" spans="1:9" s="8" customFormat="1" ht="8.25" customHeight="1" hidden="1">
      <c r="A232" s="147"/>
      <c r="B232" s="50">
        <v>5</v>
      </c>
      <c r="C232" s="569" t="s">
        <v>510</v>
      </c>
      <c r="D232" s="569"/>
      <c r="E232" s="569"/>
      <c r="F232" s="173">
        <v>2</v>
      </c>
      <c r="G232" s="240">
        <v>19900</v>
      </c>
      <c r="H232" s="238">
        <f t="shared" si="0"/>
        <v>39800</v>
      </c>
      <c r="I232" s="319"/>
    </row>
    <row r="233" spans="1:9" s="8" customFormat="1" ht="18.75" customHeight="1" hidden="1">
      <c r="A233" s="147"/>
      <c r="B233" s="50">
        <v>6</v>
      </c>
      <c r="C233" s="569" t="s">
        <v>511</v>
      </c>
      <c r="D233" s="569"/>
      <c r="E233" s="569"/>
      <c r="F233" s="173">
        <v>20</v>
      </c>
      <c r="G233" s="240">
        <v>11000</v>
      </c>
      <c r="H233" s="238">
        <f t="shared" si="0"/>
        <v>220000</v>
      </c>
      <c r="I233" s="319"/>
    </row>
    <row r="234" spans="1:9" s="8" customFormat="1" ht="36" customHeight="1" hidden="1">
      <c r="A234" s="147"/>
      <c r="B234" s="50">
        <v>7</v>
      </c>
      <c r="C234" s="569" t="s">
        <v>512</v>
      </c>
      <c r="D234" s="569"/>
      <c r="E234" s="569"/>
      <c r="F234" s="173">
        <v>2</v>
      </c>
      <c r="G234" s="240">
        <v>18200</v>
      </c>
      <c r="H234" s="238">
        <f t="shared" si="0"/>
        <v>36400</v>
      </c>
      <c r="I234" s="319"/>
    </row>
    <row r="235" spans="1:9" s="8" customFormat="1" ht="34.5" customHeight="1" hidden="1">
      <c r="A235" s="147"/>
      <c r="B235" s="50">
        <v>8</v>
      </c>
      <c r="C235" s="569" t="s">
        <v>513</v>
      </c>
      <c r="D235" s="569"/>
      <c r="E235" s="569"/>
      <c r="F235" s="173">
        <v>1</v>
      </c>
      <c r="G235" s="240">
        <v>6000</v>
      </c>
      <c r="H235" s="238">
        <f>F235*G235</f>
        <v>6000</v>
      </c>
      <c r="I235" s="319"/>
    </row>
    <row r="236" spans="1:9" s="8" customFormat="1" ht="15" hidden="1">
      <c r="A236" s="147"/>
      <c r="B236" s="565" t="s">
        <v>57</v>
      </c>
      <c r="C236" s="565"/>
      <c r="D236" s="565"/>
      <c r="E236" s="565"/>
      <c r="F236" s="565"/>
      <c r="G236" s="565"/>
      <c r="H236" s="68">
        <f>SUM(H228:H235)</f>
        <v>553600</v>
      </c>
      <c r="I236" s="319"/>
    </row>
    <row r="237" spans="1:9" s="8" customFormat="1" ht="27" customHeight="1" hidden="1">
      <c r="A237" s="147"/>
      <c r="B237" s="565" t="s">
        <v>499</v>
      </c>
      <c r="C237" s="565"/>
      <c r="D237" s="565"/>
      <c r="E237" s="565"/>
      <c r="F237" s="565"/>
      <c r="G237" s="565"/>
      <c r="H237" s="68">
        <f>H236</f>
        <v>553600</v>
      </c>
      <c r="I237" s="319"/>
    </row>
    <row r="238" spans="1:8" s="8" customFormat="1" ht="15" hidden="1">
      <c r="A238" s="147"/>
      <c r="B238" s="582" t="s">
        <v>269</v>
      </c>
      <c r="C238" s="582"/>
      <c r="D238" s="582"/>
      <c r="E238" s="582"/>
      <c r="F238" s="582"/>
      <c r="G238" s="582"/>
      <c r="H238" s="163"/>
    </row>
    <row r="239" spans="1:8" s="8" customFormat="1" ht="32.25" customHeight="1" hidden="1">
      <c r="A239" s="147"/>
      <c r="B239" s="50" t="s">
        <v>33</v>
      </c>
      <c r="C239" s="50" t="s">
        <v>40</v>
      </c>
      <c r="D239" s="50" t="s">
        <v>50</v>
      </c>
      <c r="E239" s="27" t="s">
        <v>51</v>
      </c>
      <c r="F239" s="50" t="s">
        <v>47</v>
      </c>
      <c r="H239" s="163"/>
    </row>
    <row r="240" spans="1:8" s="8" customFormat="1" ht="30.75" hidden="1">
      <c r="A240" s="147"/>
      <c r="B240" s="118">
        <v>1</v>
      </c>
      <c r="C240" s="36" t="s">
        <v>796</v>
      </c>
      <c r="D240" s="118">
        <v>1</v>
      </c>
      <c r="E240" s="158">
        <v>1</v>
      </c>
      <c r="F240" s="123">
        <v>254017</v>
      </c>
      <c r="H240" s="174"/>
    </row>
    <row r="241" spans="1:8" s="9" customFormat="1" ht="15" hidden="1">
      <c r="A241" s="172"/>
      <c r="B241" s="574" t="s">
        <v>69</v>
      </c>
      <c r="C241" s="575"/>
      <c r="D241" s="575"/>
      <c r="E241" s="576"/>
      <c r="F241" s="122">
        <f>SUM(F240:F240)</f>
        <v>254017</v>
      </c>
      <c r="H241" s="175"/>
    </row>
    <row r="242" spans="2:8" ht="15" hidden="1">
      <c r="B242" s="641" t="s">
        <v>665</v>
      </c>
      <c r="C242" s="642"/>
      <c r="D242" s="642"/>
      <c r="E242" s="642"/>
      <c r="F242" s="350">
        <f>F241</f>
        <v>254017</v>
      </c>
      <c r="G242" s="358"/>
      <c r="H242" s="351"/>
    </row>
    <row r="243" ht="15" hidden="1"/>
    <row r="244" spans="2:8" ht="15" hidden="1">
      <c r="B244" s="622" t="s">
        <v>270</v>
      </c>
      <c r="C244" s="622"/>
      <c r="D244" s="622"/>
      <c r="E244" s="622"/>
      <c r="F244" s="622"/>
      <c r="G244" s="622"/>
      <c r="H244" s="168"/>
    </row>
    <row r="245" spans="2:8" ht="15" hidden="1">
      <c r="B245" s="168"/>
      <c r="C245" s="168"/>
      <c r="D245" s="345"/>
      <c r="E245" s="168"/>
      <c r="F245" s="168"/>
      <c r="G245" s="168"/>
      <c r="H245" s="168"/>
    </row>
    <row r="246" spans="2:8" ht="30.75" hidden="1">
      <c r="B246" s="333" t="s">
        <v>33</v>
      </c>
      <c r="C246" s="639" t="s">
        <v>40</v>
      </c>
      <c r="D246" s="657"/>
      <c r="E246" s="640"/>
      <c r="F246" s="333" t="s">
        <v>52</v>
      </c>
      <c r="G246" s="333" t="s">
        <v>53</v>
      </c>
      <c r="H246" s="168"/>
    </row>
    <row r="247" spans="2:8" ht="7.5" customHeight="1" hidden="1">
      <c r="B247" s="346">
        <v>1</v>
      </c>
      <c r="C247" s="658">
        <v>2</v>
      </c>
      <c r="D247" s="659"/>
      <c r="E247" s="660"/>
      <c r="F247" s="346">
        <v>3</v>
      </c>
      <c r="G247" s="346">
        <v>4</v>
      </c>
      <c r="H247" s="168"/>
    </row>
    <row r="248" spans="2:8" ht="15" hidden="1">
      <c r="B248" s="341">
        <v>1</v>
      </c>
      <c r="C248" s="661" t="s">
        <v>515</v>
      </c>
      <c r="D248" s="662"/>
      <c r="E248" s="663"/>
      <c r="F248" s="334" t="s">
        <v>313</v>
      </c>
      <c r="G248" s="347">
        <f>2716300-615107</f>
        <v>2101193</v>
      </c>
      <c r="H248" s="348"/>
    </row>
    <row r="249" spans="2:8" ht="28.5" customHeight="1" hidden="1">
      <c r="B249" s="341">
        <v>2</v>
      </c>
      <c r="C249" s="661" t="s">
        <v>587</v>
      </c>
      <c r="D249" s="662"/>
      <c r="E249" s="663"/>
      <c r="F249" s="334" t="s">
        <v>313</v>
      </c>
      <c r="G249" s="347">
        <f>517730-23460-44620</f>
        <v>449650</v>
      </c>
      <c r="H249" s="348"/>
    </row>
    <row r="250" spans="2:8" ht="36" customHeight="1" hidden="1">
      <c r="B250" s="341">
        <v>3</v>
      </c>
      <c r="C250" s="661" t="s">
        <v>698</v>
      </c>
      <c r="D250" s="662"/>
      <c r="E250" s="663"/>
      <c r="F250" s="334" t="s">
        <v>313</v>
      </c>
      <c r="G250" s="347">
        <v>985000</v>
      </c>
      <c r="H250" s="348"/>
    </row>
    <row r="251" spans="2:8" ht="18.75" customHeight="1" hidden="1">
      <c r="B251" s="341">
        <v>4</v>
      </c>
      <c r="C251" s="661" t="s">
        <v>614</v>
      </c>
      <c r="D251" s="662"/>
      <c r="E251" s="663"/>
      <c r="F251" s="334" t="s">
        <v>313</v>
      </c>
      <c r="G251" s="347">
        <v>75000</v>
      </c>
      <c r="H251" s="348"/>
    </row>
    <row r="252" spans="2:8" ht="50.25" customHeight="1" hidden="1">
      <c r="B252" s="341">
        <v>5</v>
      </c>
      <c r="C252" s="661" t="s">
        <v>697</v>
      </c>
      <c r="D252" s="662"/>
      <c r="E252" s="663"/>
      <c r="F252" s="334" t="s">
        <v>313</v>
      </c>
      <c r="G252" s="347">
        <v>550000</v>
      </c>
      <c r="H252" s="348"/>
    </row>
    <row r="253" spans="2:8" ht="31.5" customHeight="1" hidden="1">
      <c r="B253" s="341">
        <v>6</v>
      </c>
      <c r="C253" s="661" t="s">
        <v>781</v>
      </c>
      <c r="D253" s="662"/>
      <c r="E253" s="663"/>
      <c r="F253" s="334" t="s">
        <v>313</v>
      </c>
      <c r="G253" s="347">
        <v>310500</v>
      </c>
      <c r="H253" s="348"/>
    </row>
    <row r="254" spans="2:8" ht="15" hidden="1">
      <c r="B254" s="641" t="s">
        <v>71</v>
      </c>
      <c r="C254" s="642"/>
      <c r="D254" s="642"/>
      <c r="E254" s="642"/>
      <c r="F254" s="643"/>
      <c r="G254" s="349">
        <f>SUM(G248:G253)</f>
        <v>4471343</v>
      </c>
      <c r="H254" s="168"/>
    </row>
    <row r="255" spans="2:8" ht="15" customHeight="1" hidden="1">
      <c r="B255" s="641" t="s">
        <v>693</v>
      </c>
      <c r="C255" s="642"/>
      <c r="D255" s="642"/>
      <c r="E255" s="642"/>
      <c r="F255" s="643"/>
      <c r="G255" s="350">
        <f>G248</f>
        <v>2101193</v>
      </c>
      <c r="H255" s="351"/>
    </row>
    <row r="256" spans="2:8" ht="0.75" customHeight="1" hidden="1">
      <c r="B256" s="641" t="s">
        <v>588</v>
      </c>
      <c r="C256" s="642"/>
      <c r="D256" s="642"/>
      <c r="E256" s="642"/>
      <c r="F256" s="643"/>
      <c r="G256" s="350">
        <f>G249+G250+G251+G252</f>
        <v>2059650</v>
      </c>
      <c r="H256" s="351"/>
    </row>
    <row r="257" spans="2:8" ht="15" hidden="1">
      <c r="B257" s="641" t="s">
        <v>598</v>
      </c>
      <c r="C257" s="642"/>
      <c r="D257" s="642"/>
      <c r="E257" s="642"/>
      <c r="F257" s="643"/>
      <c r="G257" s="350">
        <f>G253</f>
        <v>310500</v>
      </c>
      <c r="H257" s="351"/>
    </row>
    <row r="258" spans="2:8" ht="15" hidden="1">
      <c r="B258" s="679" t="s">
        <v>703</v>
      </c>
      <c r="C258" s="642"/>
      <c r="D258" s="642"/>
      <c r="E258" s="642"/>
      <c r="F258" s="643"/>
      <c r="G258" s="451">
        <f>G249+G251+G252</f>
        <v>1074650</v>
      </c>
      <c r="H258" s="351"/>
    </row>
    <row r="259" spans="2:8" ht="15" hidden="1">
      <c r="B259" s="641" t="s">
        <v>704</v>
      </c>
      <c r="C259" s="642"/>
      <c r="D259" s="642"/>
      <c r="E259" s="642"/>
      <c r="F259" s="643"/>
      <c r="G259" s="350">
        <f>G250</f>
        <v>985000</v>
      </c>
      <c r="H259" s="351"/>
    </row>
    <row r="260" spans="2:8" ht="0.75" customHeight="1" hidden="1">
      <c r="B260" s="641" t="s">
        <v>665</v>
      </c>
      <c r="C260" s="642"/>
      <c r="D260" s="642"/>
      <c r="E260" s="642"/>
      <c r="F260" s="643"/>
      <c r="G260" s="350">
        <f>G253</f>
        <v>310500</v>
      </c>
      <c r="H260" s="351"/>
    </row>
    <row r="261" spans="2:8" ht="0.75" customHeight="1" hidden="1">
      <c r="B261" s="655" t="s">
        <v>272</v>
      </c>
      <c r="C261" s="655"/>
      <c r="D261" s="655"/>
      <c r="E261" s="655"/>
      <c r="F261" s="655"/>
      <c r="G261" s="655"/>
      <c r="H261" s="348"/>
    </row>
    <row r="262" spans="1:8" ht="30.75" hidden="1">
      <c r="A262" s="147"/>
      <c r="B262" s="50" t="s">
        <v>33</v>
      </c>
      <c r="C262" s="50" t="s">
        <v>40</v>
      </c>
      <c r="D262" s="50" t="s">
        <v>50</v>
      </c>
      <c r="E262" s="27" t="s">
        <v>51</v>
      </c>
      <c r="F262" s="50" t="s">
        <v>47</v>
      </c>
      <c r="G262" s="8"/>
      <c r="H262" s="163"/>
    </row>
    <row r="263" spans="1:8" ht="30.75" hidden="1">
      <c r="A263" s="147"/>
      <c r="B263" s="118">
        <v>1</v>
      </c>
      <c r="C263" s="36" t="s">
        <v>809</v>
      </c>
      <c r="D263" s="118">
        <v>1</v>
      </c>
      <c r="E263" s="158">
        <v>10</v>
      </c>
      <c r="F263" s="123">
        <v>0</v>
      </c>
      <c r="G263" s="8"/>
      <c r="H263" s="174"/>
    </row>
    <row r="264" spans="1:8" ht="58.5" customHeight="1" hidden="1">
      <c r="A264" s="172"/>
      <c r="B264" s="574" t="s">
        <v>74</v>
      </c>
      <c r="C264" s="575"/>
      <c r="D264" s="575"/>
      <c r="E264" s="576"/>
      <c r="F264" s="122">
        <f>SUM(F263:F263)</f>
        <v>0</v>
      </c>
      <c r="G264" s="9"/>
      <c r="H264" s="175"/>
    </row>
    <row r="265" spans="2:8" ht="23.25" customHeight="1" hidden="1">
      <c r="B265" s="641" t="s">
        <v>810</v>
      </c>
      <c r="C265" s="642"/>
      <c r="D265" s="642"/>
      <c r="E265" s="642"/>
      <c r="F265" s="350">
        <f>F264</f>
        <v>0</v>
      </c>
      <c r="G265" s="358"/>
      <c r="H265" s="351"/>
    </row>
    <row r="266" spans="2:8" ht="0.75" customHeight="1">
      <c r="B266" s="577" t="s">
        <v>259</v>
      </c>
      <c r="C266" s="577"/>
      <c r="D266" s="577"/>
      <c r="E266" s="577"/>
      <c r="F266" s="577"/>
      <c r="G266" s="577"/>
      <c r="H266" s="577"/>
    </row>
    <row r="267" spans="2:8" ht="15" hidden="1">
      <c r="B267" s="595" t="s">
        <v>219</v>
      </c>
      <c r="C267" s="595"/>
      <c r="D267" s="595"/>
      <c r="E267" s="595"/>
      <c r="F267" s="595"/>
      <c r="G267" s="595"/>
      <c r="H267" s="595"/>
    </row>
    <row r="268" spans="2:8" ht="15" hidden="1">
      <c r="B268" s="577" t="s">
        <v>818</v>
      </c>
      <c r="C268" s="577"/>
      <c r="D268" s="577"/>
      <c r="E268" s="577"/>
      <c r="F268" s="577"/>
      <c r="G268" s="577"/>
      <c r="H268" s="577"/>
    </row>
    <row r="269" spans="2:11" ht="48" customHeight="1" hidden="1">
      <c r="B269" s="592" t="s">
        <v>324</v>
      </c>
      <c r="C269" s="593"/>
      <c r="D269" s="592" t="s">
        <v>19</v>
      </c>
      <c r="E269" s="593"/>
      <c r="F269" s="592" t="s">
        <v>325</v>
      </c>
      <c r="G269" s="593"/>
      <c r="H269" s="596" t="s">
        <v>326</v>
      </c>
      <c r="J269" s="245"/>
      <c r="K269" s="245"/>
    </row>
    <row r="270" spans="2:8" ht="15" hidden="1">
      <c r="B270" s="152" t="s">
        <v>16</v>
      </c>
      <c r="C270" s="152" t="s">
        <v>17</v>
      </c>
      <c r="D270" s="152" t="s">
        <v>16</v>
      </c>
      <c r="E270" s="152" t="s">
        <v>17</v>
      </c>
      <c r="F270" s="152" t="s">
        <v>16</v>
      </c>
      <c r="G270" s="321" t="s">
        <v>17</v>
      </c>
      <c r="H270" s="597"/>
    </row>
    <row r="271" spans="2:8" ht="15" hidden="1">
      <c r="B271" s="152">
        <v>1</v>
      </c>
      <c r="C271" s="152">
        <v>2</v>
      </c>
      <c r="D271" s="152">
        <v>3</v>
      </c>
      <c r="E271" s="152">
        <v>4</v>
      </c>
      <c r="F271" s="152">
        <v>5</v>
      </c>
      <c r="G271" s="321">
        <v>6</v>
      </c>
      <c r="H271" s="153">
        <v>7</v>
      </c>
    </row>
    <row r="272" spans="2:10" ht="17.25" customHeight="1" hidden="1">
      <c r="B272" s="257">
        <v>439976.9</v>
      </c>
      <c r="C272" s="257">
        <f>B272*12</f>
        <v>5279722.800000001</v>
      </c>
      <c r="D272" s="258">
        <f>H272/12</f>
        <v>0</v>
      </c>
      <c r="E272" s="258">
        <f>H272</f>
        <v>0</v>
      </c>
      <c r="F272" s="258">
        <v>439976.9</v>
      </c>
      <c r="G272" s="258">
        <f>F272*12</f>
        <v>5279722.800000001</v>
      </c>
      <c r="H272" s="259">
        <v>0</v>
      </c>
      <c r="I272" s="245"/>
      <c r="J272" s="245"/>
    </row>
    <row r="273" spans="2:10" ht="15" hidden="1">
      <c r="B273" s="648" t="s">
        <v>835</v>
      </c>
      <c r="C273" s="649"/>
      <c r="D273" s="649"/>
      <c r="E273" s="649"/>
      <c r="F273" s="649"/>
      <c r="G273" s="650"/>
      <c r="H273" s="157">
        <f>H272</f>
        <v>0</v>
      </c>
      <c r="I273" s="245"/>
      <c r="J273" s="245"/>
    </row>
    <row r="274" spans="2:10" ht="15" hidden="1">
      <c r="B274" s="648" t="s">
        <v>834</v>
      </c>
      <c r="C274" s="649"/>
      <c r="D274" s="649"/>
      <c r="E274" s="649"/>
      <c r="F274" s="649"/>
      <c r="G274" s="650"/>
      <c r="H274" s="157">
        <f>H273</f>
        <v>0</v>
      </c>
      <c r="I274" s="245"/>
      <c r="J274" s="245"/>
    </row>
    <row r="275" spans="2:11" ht="36.75" customHeight="1" hidden="1">
      <c r="B275" s="601" t="s">
        <v>805</v>
      </c>
      <c r="C275" s="602"/>
      <c r="D275" s="602"/>
      <c r="E275" s="602"/>
      <c r="F275" s="602"/>
      <c r="G275" s="602"/>
      <c r="H275" s="602"/>
      <c r="J275" s="301"/>
      <c r="K275" s="302"/>
    </row>
    <row r="276" spans="2:10" ht="15" hidden="1">
      <c r="B276" s="613" t="s">
        <v>806</v>
      </c>
      <c r="C276" s="614"/>
      <c r="D276" s="614"/>
      <c r="E276" s="614"/>
      <c r="F276" s="614"/>
      <c r="G276" s="614"/>
      <c r="H276" s="614"/>
      <c r="J276" s="301"/>
    </row>
    <row r="277" spans="2:7" ht="6.75" customHeight="1" hidden="1">
      <c r="B277" s="333" t="s">
        <v>33</v>
      </c>
      <c r="C277" s="645" t="s">
        <v>521</v>
      </c>
      <c r="D277" s="645"/>
      <c r="E277" s="645"/>
      <c r="F277" s="645"/>
      <c r="G277" s="333" t="s">
        <v>47</v>
      </c>
    </row>
    <row r="278" spans="2:7" ht="14.25" customHeight="1" hidden="1">
      <c r="B278" s="153">
        <v>1</v>
      </c>
      <c r="C278" s="646">
        <v>2</v>
      </c>
      <c r="D278" s="646"/>
      <c r="E278" s="646"/>
      <c r="F278" s="646"/>
      <c r="G278" s="153">
        <v>3</v>
      </c>
    </row>
    <row r="279" spans="2:8" ht="31.5" customHeight="1" hidden="1">
      <c r="B279" s="337">
        <v>1</v>
      </c>
      <c r="C279" s="647" t="s">
        <v>522</v>
      </c>
      <c r="D279" s="647"/>
      <c r="E279" s="647"/>
      <c r="F279" s="647"/>
      <c r="G279" s="338">
        <v>0</v>
      </c>
      <c r="H279" s="339"/>
    </row>
    <row r="280" spans="2:8" ht="43.5" customHeight="1" hidden="1">
      <c r="B280" s="337">
        <v>2</v>
      </c>
      <c r="C280" s="647" t="s">
        <v>798</v>
      </c>
      <c r="D280" s="647"/>
      <c r="E280" s="647"/>
      <c r="F280" s="647"/>
      <c r="G280" s="338">
        <v>0</v>
      </c>
      <c r="H280" s="339"/>
    </row>
    <row r="281" spans="2:8" ht="43.5" customHeight="1" hidden="1">
      <c r="B281" s="337">
        <v>3</v>
      </c>
      <c r="C281" s="647" t="s">
        <v>868</v>
      </c>
      <c r="D281" s="647"/>
      <c r="E281" s="647"/>
      <c r="F281" s="647"/>
      <c r="G281" s="338">
        <v>0</v>
      </c>
      <c r="H281" s="339"/>
    </row>
    <row r="282" spans="2:8" ht="23.25" customHeight="1" hidden="1">
      <c r="B282" s="678" t="s">
        <v>233</v>
      </c>
      <c r="C282" s="678"/>
      <c r="D282" s="678"/>
      <c r="E282" s="678"/>
      <c r="F282" s="678"/>
      <c r="G282" s="157">
        <f>G279+G280+G281</f>
        <v>0</v>
      </c>
      <c r="H282" s="340"/>
    </row>
    <row r="283" spans="2:8" ht="23.25" customHeight="1" hidden="1">
      <c r="B283" s="678" t="s">
        <v>852</v>
      </c>
      <c r="C283" s="678"/>
      <c r="D283" s="678"/>
      <c r="E283" s="678"/>
      <c r="F283" s="678"/>
      <c r="G283" s="157">
        <f>G279</f>
        <v>0</v>
      </c>
      <c r="H283" s="340"/>
    </row>
    <row r="284" spans="2:8" ht="23.25" customHeight="1" hidden="1">
      <c r="B284" s="678" t="s">
        <v>853</v>
      </c>
      <c r="C284" s="678"/>
      <c r="D284" s="678"/>
      <c r="E284" s="678"/>
      <c r="F284" s="678"/>
      <c r="G284" s="157">
        <f>G280</f>
        <v>0</v>
      </c>
      <c r="H284" s="340"/>
    </row>
    <row r="285" spans="2:8" ht="23.25" customHeight="1" hidden="1">
      <c r="B285" s="678" t="s">
        <v>889</v>
      </c>
      <c r="C285" s="678"/>
      <c r="D285" s="678"/>
      <c r="E285" s="678"/>
      <c r="F285" s="678"/>
      <c r="G285" s="157">
        <f>G281</f>
        <v>0</v>
      </c>
      <c r="H285" s="340"/>
    </row>
    <row r="286" spans="2:8" ht="14.25" customHeight="1" hidden="1">
      <c r="B286" s="678" t="s">
        <v>887</v>
      </c>
      <c r="C286" s="678"/>
      <c r="D286" s="678"/>
      <c r="E286" s="678"/>
      <c r="F286" s="678"/>
      <c r="G286" s="157">
        <v>0</v>
      </c>
      <c r="H286" s="340"/>
    </row>
    <row r="287" spans="2:8" ht="21.75" customHeight="1" hidden="1">
      <c r="B287" s="674" t="s">
        <v>837</v>
      </c>
      <c r="C287" s="674"/>
      <c r="D287" s="674"/>
      <c r="E287" s="674"/>
      <c r="F287" s="674"/>
      <c r="G287" s="674"/>
      <c r="H287" s="340"/>
    </row>
    <row r="288" spans="2:8" ht="72.75" customHeight="1" hidden="1">
      <c r="B288" s="604" t="s">
        <v>819</v>
      </c>
      <c r="C288" s="604"/>
      <c r="D288" s="604"/>
      <c r="E288" s="604"/>
      <c r="F288" s="604"/>
      <c r="G288" s="604"/>
      <c r="H288" s="166"/>
    </row>
    <row r="289" spans="2:7" ht="62.25" hidden="1">
      <c r="B289" s="50" t="s">
        <v>33</v>
      </c>
      <c r="C289" s="533" t="s">
        <v>21</v>
      </c>
      <c r="D289" s="534"/>
      <c r="E289" s="535"/>
      <c r="F289" s="50" t="s">
        <v>22</v>
      </c>
      <c r="G289" s="431" t="s">
        <v>23</v>
      </c>
    </row>
    <row r="290" spans="2:7" ht="15" hidden="1">
      <c r="B290" s="118">
        <v>1</v>
      </c>
      <c r="C290" s="605">
        <v>2</v>
      </c>
      <c r="D290" s="606"/>
      <c r="E290" s="607"/>
      <c r="F290" s="118">
        <v>3</v>
      </c>
      <c r="G290" s="363">
        <v>4</v>
      </c>
    </row>
    <row r="291" spans="2:7" ht="32.25" customHeight="1" hidden="1">
      <c r="B291" s="118">
        <v>1</v>
      </c>
      <c r="C291" s="609" t="s">
        <v>34</v>
      </c>
      <c r="D291" s="610"/>
      <c r="E291" s="611"/>
      <c r="F291" s="118" t="s">
        <v>35</v>
      </c>
      <c r="G291" s="364">
        <f>SUM(G292:G294)</f>
        <v>0</v>
      </c>
    </row>
    <row r="292" spans="2:7" ht="15" hidden="1">
      <c r="B292" s="118" t="s">
        <v>24</v>
      </c>
      <c r="C292" s="609" t="s">
        <v>36</v>
      </c>
      <c r="D292" s="610"/>
      <c r="E292" s="611"/>
      <c r="F292" s="159">
        <f>H273+G279+G280+G281</f>
        <v>0</v>
      </c>
      <c r="G292" s="364">
        <f>F292*22%</f>
        <v>0</v>
      </c>
    </row>
    <row r="293" spans="2:7" ht="15" hidden="1">
      <c r="B293" s="160" t="s">
        <v>25</v>
      </c>
      <c r="C293" s="609" t="s">
        <v>37</v>
      </c>
      <c r="D293" s="610"/>
      <c r="E293" s="611"/>
      <c r="F293" s="159"/>
      <c r="G293" s="364"/>
    </row>
    <row r="294" spans="2:7" ht="50.25" customHeight="1" hidden="1">
      <c r="B294" s="118" t="s">
        <v>26</v>
      </c>
      <c r="C294" s="609" t="s">
        <v>77</v>
      </c>
      <c r="D294" s="610"/>
      <c r="E294" s="611"/>
      <c r="F294" s="159"/>
      <c r="G294" s="364"/>
    </row>
    <row r="295" spans="2:7" ht="3.75" customHeight="1" hidden="1">
      <c r="B295" s="118">
        <v>2</v>
      </c>
      <c r="C295" s="609" t="s">
        <v>27</v>
      </c>
      <c r="D295" s="610"/>
      <c r="E295" s="611"/>
      <c r="F295" s="118" t="s">
        <v>35</v>
      </c>
      <c r="G295" s="364">
        <f>G296+G298</f>
        <v>0</v>
      </c>
    </row>
    <row r="296" spans="2:7" ht="38.25" customHeight="1" hidden="1">
      <c r="B296" s="118" t="s">
        <v>28</v>
      </c>
      <c r="C296" s="609" t="s">
        <v>78</v>
      </c>
      <c r="D296" s="610"/>
      <c r="E296" s="611"/>
      <c r="F296" s="159">
        <f>F292</f>
        <v>0</v>
      </c>
      <c r="G296" s="364">
        <f>F296*2.9%</f>
        <v>0</v>
      </c>
    </row>
    <row r="297" spans="2:7" ht="33" customHeight="1" hidden="1">
      <c r="B297" s="118" t="s">
        <v>29</v>
      </c>
      <c r="C297" s="609" t="s">
        <v>79</v>
      </c>
      <c r="D297" s="610"/>
      <c r="E297" s="611"/>
      <c r="F297" s="159"/>
      <c r="G297" s="364"/>
    </row>
    <row r="298" spans="2:7" ht="48" customHeight="1" hidden="1">
      <c r="B298" s="118" t="s">
        <v>29</v>
      </c>
      <c r="C298" s="609" t="s">
        <v>76</v>
      </c>
      <c r="D298" s="610"/>
      <c r="E298" s="611"/>
      <c r="F298" s="159">
        <f>F296</f>
        <v>0</v>
      </c>
      <c r="G298" s="364">
        <f>F298*0.2%</f>
        <v>0</v>
      </c>
    </row>
    <row r="299" spans="2:7" ht="46.5" customHeight="1" hidden="1">
      <c r="B299" s="118" t="s">
        <v>31</v>
      </c>
      <c r="C299" s="609" t="s">
        <v>80</v>
      </c>
      <c r="D299" s="610"/>
      <c r="E299" s="611"/>
      <c r="F299" s="159"/>
      <c r="G299" s="364"/>
    </row>
    <row r="300" spans="2:7" ht="45" customHeight="1" hidden="1">
      <c r="B300" s="118" t="s">
        <v>32</v>
      </c>
      <c r="C300" s="609" t="s">
        <v>80</v>
      </c>
      <c r="D300" s="610"/>
      <c r="E300" s="611"/>
      <c r="F300" s="159"/>
      <c r="G300" s="364"/>
    </row>
    <row r="301" spans="2:7" ht="38.25" customHeight="1" hidden="1">
      <c r="B301" s="118" t="s">
        <v>38</v>
      </c>
      <c r="C301" s="609" t="s">
        <v>39</v>
      </c>
      <c r="D301" s="610"/>
      <c r="E301" s="611"/>
      <c r="F301" s="159">
        <f>F298</f>
        <v>0</v>
      </c>
      <c r="G301" s="364">
        <f>F301*5.1%</f>
        <v>0</v>
      </c>
    </row>
    <row r="302" spans="2:7" ht="17.25" customHeight="1" hidden="1">
      <c r="B302" s="574" t="s">
        <v>836</v>
      </c>
      <c r="C302" s="575"/>
      <c r="D302" s="575"/>
      <c r="E302" s="576"/>
      <c r="F302" s="118" t="s">
        <v>35</v>
      </c>
      <c r="G302" s="365">
        <f>G291+G295+G301</f>
        <v>0</v>
      </c>
    </row>
    <row r="303" ht="8.25" customHeight="1" hidden="1">
      <c r="G303" s="437"/>
    </row>
    <row r="304" spans="2:7" ht="17.25" customHeight="1" hidden="1">
      <c r="B304" s="559" t="s">
        <v>263</v>
      </c>
      <c r="C304" s="559"/>
      <c r="D304" s="559"/>
      <c r="E304" s="559"/>
      <c r="F304" s="559"/>
      <c r="G304" s="559"/>
    </row>
    <row r="305" spans="2:7" ht="10.5" customHeight="1" hidden="1">
      <c r="B305" s="163"/>
      <c r="C305" s="163"/>
      <c r="D305" s="163"/>
      <c r="E305" s="163"/>
      <c r="F305" s="163"/>
      <c r="G305" s="367"/>
    </row>
    <row r="306" spans="2:7" ht="11.25" customHeight="1" hidden="1">
      <c r="B306" s="608" t="s">
        <v>220</v>
      </c>
      <c r="C306" s="608"/>
      <c r="D306" s="608"/>
      <c r="E306" s="608"/>
      <c r="F306" s="608"/>
      <c r="G306" s="608"/>
    </row>
    <row r="307" spans="2:7" ht="9.75" customHeight="1" hidden="1">
      <c r="B307" s="163"/>
      <c r="C307" s="165"/>
      <c r="D307" s="163"/>
      <c r="E307" s="163"/>
      <c r="F307" s="163"/>
      <c r="G307" s="438"/>
    </row>
    <row r="308" spans="2:8" ht="3.75" customHeight="1" hidden="1">
      <c r="B308" s="50" t="s">
        <v>33</v>
      </c>
      <c r="C308" s="530" t="s">
        <v>40</v>
      </c>
      <c r="D308" s="530"/>
      <c r="E308" s="530"/>
      <c r="F308" s="50" t="s">
        <v>41</v>
      </c>
      <c r="G308" s="431" t="s">
        <v>42</v>
      </c>
      <c r="H308" s="50" t="s">
        <v>43</v>
      </c>
    </row>
    <row r="309" spans="2:8" ht="3" customHeight="1" hidden="1">
      <c r="B309" s="50">
        <v>1</v>
      </c>
      <c r="C309" s="530">
        <v>2</v>
      </c>
      <c r="D309" s="530"/>
      <c r="E309" s="530"/>
      <c r="F309" s="50">
        <v>3</v>
      </c>
      <c r="G309" s="431">
        <v>4</v>
      </c>
      <c r="H309" s="50">
        <v>5</v>
      </c>
    </row>
    <row r="310" spans="2:8" ht="9" customHeight="1" hidden="1">
      <c r="B310" s="50">
        <v>1</v>
      </c>
      <c r="C310" s="567" t="s">
        <v>328</v>
      </c>
      <c r="D310" s="567"/>
      <c r="E310" s="567"/>
      <c r="F310" s="216" t="s">
        <v>330</v>
      </c>
      <c r="G310" s="369" t="s">
        <v>330</v>
      </c>
      <c r="H310" s="123">
        <f>14990-7.4-14982.6</f>
        <v>0</v>
      </c>
    </row>
    <row r="311" spans="2:8" ht="6" customHeight="1" hidden="1">
      <c r="B311" s="50">
        <v>1</v>
      </c>
      <c r="C311" s="567" t="s">
        <v>329</v>
      </c>
      <c r="D311" s="567"/>
      <c r="E311" s="567"/>
      <c r="F311" s="216">
        <v>151.98</v>
      </c>
      <c r="G311" s="369">
        <v>32.9</v>
      </c>
      <c r="H311" s="123">
        <v>0</v>
      </c>
    </row>
    <row r="312" spans="2:8" ht="3" customHeight="1" hidden="1">
      <c r="B312" s="50">
        <v>4</v>
      </c>
      <c r="C312" s="567" t="s">
        <v>489</v>
      </c>
      <c r="D312" s="567"/>
      <c r="E312" s="567"/>
      <c r="F312" s="216" t="s">
        <v>330</v>
      </c>
      <c r="G312" s="369" t="s">
        <v>330</v>
      </c>
      <c r="H312" s="123">
        <f>7.4-7.4</f>
        <v>0</v>
      </c>
    </row>
    <row r="313" spans="2:7" ht="17.25" customHeight="1" hidden="1">
      <c r="B313" s="574" t="s">
        <v>817</v>
      </c>
      <c r="C313" s="575"/>
      <c r="D313" s="575"/>
      <c r="E313" s="576"/>
      <c r="F313" s="118" t="s">
        <v>35</v>
      </c>
      <c r="G313" s="365">
        <v>64258.32</v>
      </c>
    </row>
    <row r="314" spans="2:7" ht="17.25" customHeight="1" hidden="1">
      <c r="B314" s="574" t="s">
        <v>839</v>
      </c>
      <c r="C314" s="575"/>
      <c r="D314" s="575"/>
      <c r="E314" s="576"/>
      <c r="F314" s="118" t="s">
        <v>35</v>
      </c>
      <c r="G314" s="365">
        <f>562620+6958.53</f>
        <v>569578.53</v>
      </c>
    </row>
    <row r="315" spans="2:7" ht="14.25" customHeight="1" hidden="1">
      <c r="B315" s="574" t="s">
        <v>840</v>
      </c>
      <c r="C315" s="575"/>
      <c r="D315" s="575"/>
      <c r="E315" s="576"/>
      <c r="F315" s="118" t="s">
        <v>35</v>
      </c>
      <c r="G315" s="365">
        <v>79660</v>
      </c>
    </row>
    <row r="316" spans="1:8" s="7" customFormat="1" ht="1.5" customHeight="1" hidden="1">
      <c r="A316" s="166"/>
      <c r="B316" s="541" t="s">
        <v>223</v>
      </c>
      <c r="C316" s="541"/>
      <c r="D316" s="541"/>
      <c r="E316" s="541"/>
      <c r="F316" s="541"/>
      <c r="G316" s="541"/>
      <c r="H316" s="167">
        <f>SUM(H310:H312)</f>
        <v>0</v>
      </c>
    </row>
    <row r="317" ht="3" customHeight="1" hidden="1">
      <c r="G317" s="437"/>
    </row>
    <row r="318" spans="2:7" ht="15" hidden="1">
      <c r="B318" s="622" t="s">
        <v>263</v>
      </c>
      <c r="C318" s="622"/>
      <c r="D318" s="622"/>
      <c r="E318" s="622"/>
      <c r="F318" s="622"/>
      <c r="G318" s="622"/>
    </row>
    <row r="319" spans="2:7" ht="15" hidden="1">
      <c r="B319" s="608" t="s">
        <v>505</v>
      </c>
      <c r="C319" s="608"/>
      <c r="D319" s="608"/>
      <c r="E319" s="608"/>
      <c r="F319" s="608"/>
      <c r="G319" s="608"/>
    </row>
    <row r="320" spans="2:7" ht="1.5" customHeight="1" hidden="1">
      <c r="B320" s="163"/>
      <c r="C320" s="165"/>
      <c r="D320" s="163"/>
      <c r="E320" s="163"/>
      <c r="F320" s="163"/>
      <c r="G320" s="438"/>
    </row>
    <row r="321" spans="2:7" ht="74.25" customHeight="1" hidden="1">
      <c r="B321" s="50" t="s">
        <v>33</v>
      </c>
      <c r="C321" s="530" t="s">
        <v>40</v>
      </c>
      <c r="D321" s="530"/>
      <c r="E321" s="50" t="s">
        <v>41</v>
      </c>
      <c r="F321" s="50" t="s">
        <v>42</v>
      </c>
      <c r="G321" s="431" t="s">
        <v>43</v>
      </c>
    </row>
    <row r="322" spans="2:7" ht="15" hidden="1">
      <c r="B322" s="50">
        <v>1</v>
      </c>
      <c r="C322" s="609" t="s">
        <v>322</v>
      </c>
      <c r="D322" s="611"/>
      <c r="E322" s="238">
        <f>G322/F322%</f>
        <v>0</v>
      </c>
      <c r="F322" s="50">
        <v>2.2</v>
      </c>
      <c r="G322" s="433">
        <v>0</v>
      </c>
    </row>
    <row r="323" spans="2:7" ht="1.5" customHeight="1" hidden="1">
      <c r="B323" s="50">
        <v>1</v>
      </c>
      <c r="C323" s="609" t="s">
        <v>593</v>
      </c>
      <c r="D323" s="611"/>
      <c r="E323" s="238">
        <f>G323/F323%</f>
        <v>0</v>
      </c>
      <c r="F323" s="50">
        <v>2.2</v>
      </c>
      <c r="G323" s="433">
        <v>0</v>
      </c>
    </row>
    <row r="324" spans="2:7" ht="33" customHeight="1" hidden="1">
      <c r="B324" s="50">
        <v>2</v>
      </c>
      <c r="C324" s="609" t="s">
        <v>613</v>
      </c>
      <c r="D324" s="611"/>
      <c r="E324" s="238"/>
      <c r="F324" s="50"/>
      <c r="G324" s="433">
        <v>0</v>
      </c>
    </row>
    <row r="325" spans="2:7" ht="73.5" customHeight="1" hidden="1">
      <c r="B325" s="50">
        <v>1</v>
      </c>
      <c r="C325" s="609" t="s">
        <v>658</v>
      </c>
      <c r="D325" s="611"/>
      <c r="E325" s="238"/>
      <c r="F325" s="50"/>
      <c r="G325" s="433">
        <v>0</v>
      </c>
    </row>
    <row r="326" spans="2:7" ht="73.5" customHeight="1" hidden="1">
      <c r="B326" s="50">
        <v>4</v>
      </c>
      <c r="C326" s="609" t="s">
        <v>629</v>
      </c>
      <c r="D326" s="611"/>
      <c r="E326" s="238"/>
      <c r="F326" s="50"/>
      <c r="G326" s="433">
        <v>0</v>
      </c>
    </row>
    <row r="327" spans="1:8" s="7" customFormat="1" ht="5.25" customHeight="1" hidden="1">
      <c r="A327" s="166"/>
      <c r="B327" s="585" t="s">
        <v>223</v>
      </c>
      <c r="C327" s="586"/>
      <c r="D327" s="587"/>
      <c r="E327" s="25"/>
      <c r="F327" s="122"/>
      <c r="G327" s="370">
        <f>SUM(G322:G326)</f>
        <v>0</v>
      </c>
      <c r="H327" s="166"/>
    </row>
    <row r="328" spans="2:7" ht="17.25" customHeight="1" hidden="1">
      <c r="B328" s="574" t="s">
        <v>855</v>
      </c>
      <c r="C328" s="575"/>
      <c r="D328" s="575"/>
      <c r="E328" s="576"/>
      <c r="F328" s="118" t="s">
        <v>35</v>
      </c>
      <c r="G328" s="365">
        <v>12830.36</v>
      </c>
    </row>
    <row r="329" spans="2:7" ht="15.75" customHeight="1" hidden="1">
      <c r="B329" s="574" t="s">
        <v>888</v>
      </c>
      <c r="C329" s="575"/>
      <c r="D329" s="575"/>
      <c r="E329" s="576"/>
      <c r="F329" s="118" t="s">
        <v>35</v>
      </c>
      <c r="G329" s="365">
        <v>0</v>
      </c>
    </row>
    <row r="330" spans="2:8" ht="20.25" customHeight="1">
      <c r="B330" s="559" t="s">
        <v>264</v>
      </c>
      <c r="C330" s="559"/>
      <c r="D330" s="559"/>
      <c r="E330" s="559"/>
      <c r="F330" s="559"/>
      <c r="G330" s="559"/>
      <c r="H330" s="168"/>
    </row>
    <row r="331" spans="2:8" ht="15">
      <c r="B331" s="608" t="s">
        <v>553</v>
      </c>
      <c r="C331" s="608"/>
      <c r="D331" s="608"/>
      <c r="E331" s="608"/>
      <c r="F331" s="608"/>
      <c r="G331" s="608"/>
      <c r="H331" s="168"/>
    </row>
    <row r="332" spans="1:8" s="8" customFormat="1" ht="15.75" customHeight="1" hidden="1">
      <c r="A332" s="147"/>
      <c r="B332" s="559" t="s">
        <v>266</v>
      </c>
      <c r="C332" s="559"/>
      <c r="D332" s="559"/>
      <c r="E332" s="559"/>
      <c r="F332" s="559"/>
      <c r="G332" s="559"/>
      <c r="H332" s="163"/>
    </row>
    <row r="333" spans="1:8" s="8" customFormat="1" ht="15.75" customHeight="1" hidden="1">
      <c r="A333" s="147"/>
      <c r="B333" s="163"/>
      <c r="C333" s="163"/>
      <c r="D333" s="164"/>
      <c r="E333" s="163"/>
      <c r="F333" s="163"/>
      <c r="G333" s="438"/>
      <c r="H333" s="163"/>
    </row>
    <row r="334" spans="1:8" s="8" customFormat="1" ht="33" customHeight="1" hidden="1">
      <c r="A334" s="147"/>
      <c r="B334" s="50" t="s">
        <v>33</v>
      </c>
      <c r="C334" s="50" t="s">
        <v>40</v>
      </c>
      <c r="D334" s="50" t="s">
        <v>283</v>
      </c>
      <c r="E334" s="533" t="s">
        <v>284</v>
      </c>
      <c r="F334" s="535"/>
      <c r="G334" s="431" t="s">
        <v>47</v>
      </c>
      <c r="H334" s="163"/>
    </row>
    <row r="335" spans="1:8" s="8" customFormat="1" ht="15.75" customHeight="1" hidden="1">
      <c r="A335" s="147"/>
      <c r="B335" s="50">
        <v>1</v>
      </c>
      <c r="C335" s="50">
        <v>2</v>
      </c>
      <c r="D335" s="50">
        <v>3</v>
      </c>
      <c r="E335" s="533">
        <v>4</v>
      </c>
      <c r="F335" s="535"/>
      <c r="G335" s="431">
        <v>5</v>
      </c>
      <c r="H335" s="163"/>
    </row>
    <row r="336" spans="1:8" s="8" customFormat="1" ht="15.75" customHeight="1" hidden="1">
      <c r="A336" s="147"/>
      <c r="B336" s="50"/>
      <c r="C336" s="50"/>
      <c r="D336" s="50"/>
      <c r="E336" s="533"/>
      <c r="F336" s="535"/>
      <c r="G336" s="431"/>
      <c r="H336" s="163"/>
    </row>
    <row r="337" spans="1:8" s="8" customFormat="1" ht="15.75" customHeight="1" hidden="1">
      <c r="A337" s="147"/>
      <c r="B337" s="50"/>
      <c r="C337" s="36"/>
      <c r="D337" s="50"/>
      <c r="E337" s="533"/>
      <c r="F337" s="535"/>
      <c r="G337" s="433"/>
      <c r="H337" s="163"/>
    </row>
    <row r="338" spans="1:8" s="8" customFormat="1" ht="15.75" customHeight="1" hidden="1">
      <c r="A338" s="147"/>
      <c r="B338" s="585" t="s">
        <v>226</v>
      </c>
      <c r="C338" s="586"/>
      <c r="D338" s="586"/>
      <c r="E338" s="586"/>
      <c r="F338" s="587"/>
      <c r="G338" s="362">
        <f>SUM(G337:G337)</f>
        <v>0</v>
      </c>
      <c r="H338" s="163"/>
    </row>
    <row r="339" spans="1:8" s="8" customFormat="1" ht="15" hidden="1">
      <c r="A339" s="147"/>
      <c r="B339" s="171"/>
      <c r="C339" s="171"/>
      <c r="D339" s="171"/>
      <c r="E339" s="171"/>
      <c r="F339" s="171"/>
      <c r="G339" s="371"/>
      <c r="H339" s="163"/>
    </row>
    <row r="340" spans="1:8" s="8" customFormat="1" ht="21" customHeight="1">
      <c r="A340" s="147"/>
      <c r="B340" s="621" t="s">
        <v>821</v>
      </c>
      <c r="C340" s="621"/>
      <c r="D340" s="621"/>
      <c r="E340" s="621"/>
      <c r="F340" s="621"/>
      <c r="G340" s="621"/>
      <c r="H340" s="163"/>
    </row>
    <row r="341" spans="1:8" s="8" customFormat="1" ht="46.5">
      <c r="A341" s="147"/>
      <c r="B341" s="50" t="s">
        <v>33</v>
      </c>
      <c r="C341" s="530" t="s">
        <v>40</v>
      </c>
      <c r="D341" s="530"/>
      <c r="E341" s="50" t="s">
        <v>84</v>
      </c>
      <c r="F341" s="50" t="s">
        <v>48</v>
      </c>
      <c r="G341" s="431" t="s">
        <v>47</v>
      </c>
      <c r="H341" s="163"/>
    </row>
    <row r="342" spans="1:8" s="8" customFormat="1" ht="18.75" customHeight="1">
      <c r="A342" s="147"/>
      <c r="B342" s="50">
        <v>1</v>
      </c>
      <c r="C342" s="530">
        <v>2</v>
      </c>
      <c r="D342" s="530"/>
      <c r="E342" s="458">
        <v>3</v>
      </c>
      <c r="F342" s="458">
        <v>4</v>
      </c>
      <c r="G342" s="459">
        <v>5</v>
      </c>
      <c r="H342" s="163"/>
    </row>
    <row r="343" spans="1:8" s="8" customFormat="1" ht="28.5" customHeight="1">
      <c r="A343" s="147"/>
      <c r="B343" s="50">
        <v>1</v>
      </c>
      <c r="C343" s="567" t="s">
        <v>822</v>
      </c>
      <c r="D343" s="567"/>
      <c r="E343" s="238">
        <f>G343/F343</f>
        <v>4402.877697841726</v>
      </c>
      <c r="F343" s="238">
        <v>6.95</v>
      </c>
      <c r="G343" s="435">
        <v>30600</v>
      </c>
      <c r="H343" s="163"/>
    </row>
    <row r="344" spans="1:8" s="8" customFormat="1" ht="28.5" customHeight="1" hidden="1">
      <c r="A344" s="147"/>
      <c r="B344" s="50">
        <v>2</v>
      </c>
      <c r="C344" s="567" t="s">
        <v>619</v>
      </c>
      <c r="D344" s="567"/>
      <c r="E344" s="238">
        <f>G344/F344</f>
        <v>0</v>
      </c>
      <c r="F344" s="238">
        <v>6.78</v>
      </c>
      <c r="G344" s="435">
        <v>0</v>
      </c>
      <c r="H344" s="163"/>
    </row>
    <row r="345" spans="1:8" s="8" customFormat="1" ht="30" customHeight="1">
      <c r="A345" s="147"/>
      <c r="B345" s="50">
        <v>2</v>
      </c>
      <c r="C345" s="567" t="s">
        <v>823</v>
      </c>
      <c r="D345" s="567"/>
      <c r="E345" s="238">
        <v>67.66</v>
      </c>
      <c r="F345" s="238">
        <f>G345/E345</f>
        <v>2955.9562518474727</v>
      </c>
      <c r="G345" s="435">
        <v>200000</v>
      </c>
      <c r="H345" s="163"/>
    </row>
    <row r="346" spans="1:8" s="8" customFormat="1" ht="29.25" customHeight="1" hidden="1">
      <c r="A346" s="147"/>
      <c r="B346" s="50">
        <v>4</v>
      </c>
      <c r="C346" s="567" t="s">
        <v>620</v>
      </c>
      <c r="D346" s="567"/>
      <c r="E346" s="238">
        <f>G346/F346</f>
        <v>0</v>
      </c>
      <c r="F346" s="238">
        <v>1826.47</v>
      </c>
      <c r="G346" s="435">
        <v>0</v>
      </c>
      <c r="H346" s="163"/>
    </row>
    <row r="347" spans="1:8" s="8" customFormat="1" ht="15" customHeight="1">
      <c r="A347" s="147"/>
      <c r="B347" s="50">
        <v>3</v>
      </c>
      <c r="C347" s="567" t="s">
        <v>824</v>
      </c>
      <c r="D347" s="567"/>
      <c r="E347" s="238">
        <v>120.999</v>
      </c>
      <c r="F347" s="238">
        <f>G347/E347</f>
        <v>413.22655559136854</v>
      </c>
      <c r="G347" s="435">
        <v>50000</v>
      </c>
      <c r="H347" s="163"/>
    </row>
    <row r="348" spans="1:8" s="8" customFormat="1" ht="26.25" customHeight="1" hidden="1">
      <c r="A348" s="147"/>
      <c r="B348" s="50">
        <v>6</v>
      </c>
      <c r="C348" s="567" t="s">
        <v>621</v>
      </c>
      <c r="D348" s="567"/>
      <c r="E348" s="238">
        <f>G348/F348</f>
        <v>0</v>
      </c>
      <c r="F348" s="238">
        <v>116.76</v>
      </c>
      <c r="G348" s="435">
        <v>0</v>
      </c>
      <c r="H348" s="163"/>
    </row>
    <row r="349" spans="1:8" s="9" customFormat="1" ht="15.75" customHeight="1">
      <c r="A349" s="172"/>
      <c r="B349" s="585" t="s">
        <v>711</v>
      </c>
      <c r="C349" s="586"/>
      <c r="D349" s="586"/>
      <c r="E349" s="586"/>
      <c r="F349" s="587"/>
      <c r="G349" s="362">
        <f>G343+G345+G347</f>
        <v>280600</v>
      </c>
      <c r="H349" s="22"/>
    </row>
    <row r="350" spans="1:8" s="8" customFormat="1" ht="15">
      <c r="A350" s="147"/>
      <c r="B350" s="50">
        <v>4</v>
      </c>
      <c r="C350" s="567" t="s">
        <v>825</v>
      </c>
      <c r="D350" s="567"/>
      <c r="E350" s="238">
        <v>176.9</v>
      </c>
      <c r="F350" s="238">
        <f>G350/E350</f>
        <v>56.52911249293386</v>
      </c>
      <c r="G350" s="435">
        <v>10000</v>
      </c>
      <c r="H350" s="163"/>
    </row>
    <row r="351" spans="1:8" s="8" customFormat="1" ht="15" hidden="1">
      <c r="A351" s="147"/>
      <c r="B351" s="50">
        <v>8</v>
      </c>
      <c r="C351" s="567" t="s">
        <v>622</v>
      </c>
      <c r="D351" s="567"/>
      <c r="E351" s="238">
        <f>G351/F351</f>
        <v>0</v>
      </c>
      <c r="F351" s="238">
        <v>19.12</v>
      </c>
      <c r="G351" s="435">
        <v>0</v>
      </c>
      <c r="H351" s="163"/>
    </row>
    <row r="352" spans="1:8" s="8" customFormat="1" ht="31.5" customHeight="1">
      <c r="A352" s="147"/>
      <c r="B352" s="50">
        <v>5</v>
      </c>
      <c r="C352" s="567" t="s">
        <v>826</v>
      </c>
      <c r="D352" s="567"/>
      <c r="E352" s="238">
        <v>345.571</v>
      </c>
      <c r="F352" s="238">
        <f>G352/E352</f>
        <v>57.875226798545015</v>
      </c>
      <c r="G352" s="435">
        <v>20000</v>
      </c>
      <c r="H352" s="163"/>
    </row>
    <row r="353" spans="1:8" s="8" customFormat="1" ht="28.5" customHeight="1" hidden="1">
      <c r="A353" s="147"/>
      <c r="B353" s="50">
        <v>10</v>
      </c>
      <c r="C353" s="567" t="s">
        <v>623</v>
      </c>
      <c r="D353" s="567"/>
      <c r="E353" s="238">
        <f>G353/F353</f>
        <v>0</v>
      </c>
      <c r="F353" s="238">
        <v>32.31</v>
      </c>
      <c r="G353" s="435">
        <v>0</v>
      </c>
      <c r="H353" s="163"/>
    </row>
    <row r="354" spans="1:8" s="9" customFormat="1" ht="15.75" customHeight="1">
      <c r="A354" s="172"/>
      <c r="B354" s="585" t="s">
        <v>710</v>
      </c>
      <c r="C354" s="586"/>
      <c r="D354" s="586"/>
      <c r="E354" s="586"/>
      <c r="F354" s="587"/>
      <c r="G354" s="362">
        <f>G350+G352</f>
        <v>30000</v>
      </c>
      <c r="H354" s="22"/>
    </row>
    <row r="355" spans="1:8" s="9" customFormat="1" ht="15.75" customHeight="1">
      <c r="A355" s="172"/>
      <c r="B355" s="585" t="s">
        <v>73</v>
      </c>
      <c r="C355" s="586"/>
      <c r="D355" s="586"/>
      <c r="E355" s="586"/>
      <c r="F355" s="587"/>
      <c r="G355" s="362">
        <f>G349+G354</f>
        <v>310600</v>
      </c>
      <c r="H355" s="22"/>
    </row>
    <row r="356" spans="1:8" s="9" customFormat="1" ht="1.5" customHeight="1" hidden="1">
      <c r="A356" s="172"/>
      <c r="B356" s="171"/>
      <c r="C356" s="171"/>
      <c r="D356" s="171"/>
      <c r="E356" s="171"/>
      <c r="F356" s="171"/>
      <c r="G356" s="372"/>
      <c r="H356" s="22"/>
    </row>
    <row r="357" spans="1:8" s="9" customFormat="1" ht="15.75" customHeight="1" hidden="1">
      <c r="A357" s="172"/>
      <c r="B357" s="582" t="s">
        <v>268</v>
      </c>
      <c r="C357" s="582"/>
      <c r="D357" s="582"/>
      <c r="E357" s="582"/>
      <c r="F357" s="582"/>
      <c r="G357" s="582"/>
      <c r="H357" s="22"/>
    </row>
    <row r="358" spans="1:8" s="9" customFormat="1" ht="15.75" customHeight="1" hidden="1">
      <c r="A358" s="172"/>
      <c r="B358" s="163"/>
      <c r="C358" s="163"/>
      <c r="D358" s="164"/>
      <c r="E358" s="163"/>
      <c r="F358" s="163"/>
      <c r="G358" s="438"/>
      <c r="H358" s="22"/>
    </row>
    <row r="359" spans="1:8" s="9" customFormat="1" ht="32.25" customHeight="1" hidden="1">
      <c r="A359" s="172"/>
      <c r="B359" s="50" t="s">
        <v>33</v>
      </c>
      <c r="C359" s="50" t="s">
        <v>40</v>
      </c>
      <c r="D359" s="50" t="s">
        <v>54</v>
      </c>
      <c r="E359" s="27" t="s">
        <v>285</v>
      </c>
      <c r="F359" s="50" t="s">
        <v>47</v>
      </c>
      <c r="G359" s="373"/>
      <c r="H359" s="22"/>
    </row>
    <row r="360" spans="1:8" s="9" customFormat="1" ht="15.75" customHeight="1" hidden="1">
      <c r="A360" s="172"/>
      <c r="B360" s="118">
        <v>1</v>
      </c>
      <c r="C360" s="118">
        <v>2</v>
      </c>
      <c r="D360" s="118">
        <v>3</v>
      </c>
      <c r="E360" s="158">
        <v>4</v>
      </c>
      <c r="F360" s="50">
        <v>5</v>
      </c>
      <c r="G360" s="373"/>
      <c r="H360" s="22"/>
    </row>
    <row r="361" spans="1:8" s="9" customFormat="1" ht="15.75" customHeight="1" hidden="1">
      <c r="A361" s="172"/>
      <c r="B361" s="118"/>
      <c r="C361" s="50"/>
      <c r="D361" s="118"/>
      <c r="E361" s="158"/>
      <c r="F361" s="187"/>
      <c r="G361" s="373"/>
      <c r="H361" s="22"/>
    </row>
    <row r="362" spans="1:8" s="9" customFormat="1" ht="15.75" customHeight="1" hidden="1">
      <c r="A362" s="172"/>
      <c r="B362" s="118"/>
      <c r="C362" s="50"/>
      <c r="D362" s="118"/>
      <c r="E362" s="158"/>
      <c r="F362" s="187"/>
      <c r="G362" s="373"/>
      <c r="H362" s="22"/>
    </row>
    <row r="363" spans="1:8" s="8" customFormat="1" ht="15" hidden="1">
      <c r="A363" s="147"/>
      <c r="B363" s="574" t="s">
        <v>227</v>
      </c>
      <c r="C363" s="575"/>
      <c r="D363" s="575"/>
      <c r="E363" s="576"/>
      <c r="F363" s="122">
        <f>SUM(F361:F362)</f>
        <v>0</v>
      </c>
      <c r="G363" s="374"/>
      <c r="H363" s="163"/>
    </row>
    <row r="364" spans="1:8" s="9" customFormat="1" ht="15.75" customHeight="1">
      <c r="A364" s="172"/>
      <c r="B364" s="585" t="s">
        <v>984</v>
      </c>
      <c r="C364" s="586"/>
      <c r="D364" s="586"/>
      <c r="E364" s="586"/>
      <c r="F364" s="587"/>
      <c r="G364" s="362">
        <f>G355</f>
        <v>310600</v>
      </c>
      <c r="H364" s="22"/>
    </row>
    <row r="365" spans="1:8" s="8" customFormat="1" ht="26.25" customHeight="1">
      <c r="A365" s="147"/>
      <c r="B365" s="582" t="s">
        <v>269</v>
      </c>
      <c r="C365" s="582"/>
      <c r="D365" s="582"/>
      <c r="E365" s="582"/>
      <c r="F365" s="582"/>
      <c r="G365" s="582"/>
      <c r="H365" s="163"/>
    </row>
    <row r="366" spans="1:8" s="8" customFormat="1" ht="32.25" customHeight="1">
      <c r="A366" s="147"/>
      <c r="B366" s="50" t="s">
        <v>33</v>
      </c>
      <c r="C366" s="530" t="s">
        <v>40</v>
      </c>
      <c r="D366" s="530"/>
      <c r="E366" s="530"/>
      <c r="F366" s="50" t="s">
        <v>50</v>
      </c>
      <c r="G366" s="375" t="s">
        <v>51</v>
      </c>
      <c r="H366" s="50" t="s">
        <v>47</v>
      </c>
    </row>
    <row r="367" spans="1:11" s="8" customFormat="1" ht="20.25" customHeight="1">
      <c r="A367" s="147"/>
      <c r="B367" s="460" t="s">
        <v>316</v>
      </c>
      <c r="C367" s="644" t="s">
        <v>570</v>
      </c>
      <c r="D367" s="644"/>
      <c r="E367" s="644"/>
      <c r="F367" s="460" t="s">
        <v>617</v>
      </c>
      <c r="G367" s="461" t="s">
        <v>586</v>
      </c>
      <c r="H367" s="439" t="s">
        <v>409</v>
      </c>
      <c r="J367" s="623"/>
      <c r="K367" s="623"/>
    </row>
    <row r="368" spans="1:11" s="8" customFormat="1" ht="34.5" customHeight="1">
      <c r="A368" s="147"/>
      <c r="B368" s="118">
        <v>1</v>
      </c>
      <c r="C368" s="567" t="s">
        <v>827</v>
      </c>
      <c r="D368" s="567"/>
      <c r="E368" s="567"/>
      <c r="F368" s="118">
        <v>1</v>
      </c>
      <c r="G368" s="376">
        <v>1</v>
      </c>
      <c r="H368" s="433">
        <v>5000</v>
      </c>
      <c r="J368" s="623"/>
      <c r="K368" s="623"/>
    </row>
    <row r="369" spans="1:11" s="8" customFormat="1" ht="30.75" customHeight="1">
      <c r="A369" s="147"/>
      <c r="B369" s="118">
        <v>2</v>
      </c>
      <c r="C369" s="567" t="s">
        <v>828</v>
      </c>
      <c r="D369" s="567"/>
      <c r="E369" s="567"/>
      <c r="F369" s="118">
        <v>1</v>
      </c>
      <c r="G369" s="376">
        <v>1</v>
      </c>
      <c r="H369" s="433">
        <v>5000</v>
      </c>
      <c r="J369" s="623"/>
      <c r="K369" s="623"/>
    </row>
    <row r="370" spans="1:11" s="8" customFormat="1" ht="30.75" customHeight="1">
      <c r="A370" s="147"/>
      <c r="B370" s="118">
        <v>3</v>
      </c>
      <c r="C370" s="567" t="s">
        <v>829</v>
      </c>
      <c r="D370" s="567"/>
      <c r="E370" s="567"/>
      <c r="F370" s="118">
        <v>1</v>
      </c>
      <c r="G370" s="363">
        <v>1</v>
      </c>
      <c r="H370" s="433">
        <v>5000</v>
      </c>
      <c r="J370" s="623"/>
      <c r="K370" s="623"/>
    </row>
    <row r="371" spans="1:8" s="8" customFormat="1" ht="35.25" customHeight="1">
      <c r="A371" s="147"/>
      <c r="B371" s="118">
        <v>4</v>
      </c>
      <c r="C371" s="567" t="s">
        <v>830</v>
      </c>
      <c r="D371" s="567"/>
      <c r="E371" s="567"/>
      <c r="F371" s="118">
        <v>1</v>
      </c>
      <c r="G371" s="376">
        <v>1</v>
      </c>
      <c r="H371" s="433">
        <v>20000</v>
      </c>
    </row>
    <row r="372" spans="1:8" s="8" customFormat="1" ht="27.75" customHeight="1" hidden="1">
      <c r="A372" s="147"/>
      <c r="B372" s="118">
        <v>7</v>
      </c>
      <c r="C372" s="567" t="s">
        <v>342</v>
      </c>
      <c r="D372" s="567"/>
      <c r="E372" s="567"/>
      <c r="F372" s="118">
        <v>1</v>
      </c>
      <c r="G372" s="363">
        <v>12</v>
      </c>
      <c r="H372" s="433">
        <f>41200-217.69-16000-6268-8714.31-10000</f>
        <v>0</v>
      </c>
    </row>
    <row r="373" spans="1:8" s="9" customFormat="1" ht="15">
      <c r="A373" s="172"/>
      <c r="B373" s="687" t="s">
        <v>982</v>
      </c>
      <c r="C373" s="687"/>
      <c r="D373" s="687"/>
      <c r="E373" s="687"/>
      <c r="F373" s="687"/>
      <c r="G373" s="687"/>
      <c r="H373" s="468">
        <f>SUM(H367:H371)</f>
        <v>35000</v>
      </c>
    </row>
    <row r="374" spans="1:11" s="8" customFormat="1" ht="155.25" customHeight="1">
      <c r="A374" s="147"/>
      <c r="B374" s="118">
        <v>5</v>
      </c>
      <c r="C374" s="567" t="s">
        <v>987</v>
      </c>
      <c r="D374" s="567"/>
      <c r="E374" s="567"/>
      <c r="F374" s="118">
        <v>1</v>
      </c>
      <c r="G374" s="363">
        <v>1</v>
      </c>
      <c r="H374" s="433">
        <v>4600000</v>
      </c>
      <c r="J374" s="623"/>
      <c r="K374" s="623"/>
    </row>
    <row r="375" spans="1:8" s="8" customFormat="1" ht="165.75" customHeight="1">
      <c r="A375" s="147"/>
      <c r="B375" s="118">
        <v>6</v>
      </c>
      <c r="C375" s="567" t="s">
        <v>988</v>
      </c>
      <c r="D375" s="567"/>
      <c r="E375" s="567"/>
      <c r="F375" s="118">
        <v>1</v>
      </c>
      <c r="G375" s="376">
        <v>1</v>
      </c>
      <c r="H375" s="433">
        <v>504400</v>
      </c>
    </row>
    <row r="376" spans="1:8" s="8" customFormat="1" ht="0.75" customHeight="1" hidden="1">
      <c r="A376" s="147"/>
      <c r="B376" s="118">
        <v>7</v>
      </c>
      <c r="C376" s="567" t="s">
        <v>342</v>
      </c>
      <c r="D376" s="567"/>
      <c r="E376" s="567"/>
      <c r="F376" s="118">
        <v>1</v>
      </c>
      <c r="G376" s="363">
        <v>12</v>
      </c>
      <c r="H376" s="433">
        <f>41200-217.69-16000-6268-8714.31-10000</f>
        <v>0</v>
      </c>
    </row>
    <row r="377" spans="1:8" s="9" customFormat="1" ht="15">
      <c r="A377" s="172"/>
      <c r="B377" s="687" t="s">
        <v>983</v>
      </c>
      <c r="C377" s="687"/>
      <c r="D377" s="687"/>
      <c r="E377" s="687"/>
      <c r="F377" s="687"/>
      <c r="G377" s="687"/>
      <c r="H377" s="468">
        <f>SUM(H374:H375)</f>
        <v>5104400</v>
      </c>
    </row>
    <row r="378" spans="1:8" s="9" customFormat="1" ht="15">
      <c r="A378" s="172"/>
      <c r="B378" s="565" t="s">
        <v>69</v>
      </c>
      <c r="C378" s="565"/>
      <c r="D378" s="565"/>
      <c r="E378" s="565"/>
      <c r="F378" s="565"/>
      <c r="G378" s="565"/>
      <c r="H378" s="362">
        <f>H373+H377</f>
        <v>5139400</v>
      </c>
    </row>
    <row r="379" spans="1:8" s="9" customFormat="1" ht="15">
      <c r="A379" s="172"/>
      <c r="B379" s="565" t="s">
        <v>984</v>
      </c>
      <c r="C379" s="565"/>
      <c r="D379" s="565"/>
      <c r="E379" s="565"/>
      <c r="F379" s="565"/>
      <c r="G379" s="565"/>
      <c r="H379" s="362">
        <f>H373</f>
        <v>35000</v>
      </c>
    </row>
    <row r="380" spans="1:8" s="9" customFormat="1" ht="15">
      <c r="A380" s="172"/>
      <c r="B380" s="565" t="s">
        <v>983</v>
      </c>
      <c r="C380" s="565"/>
      <c r="D380" s="565"/>
      <c r="E380" s="565"/>
      <c r="F380" s="565"/>
      <c r="G380" s="565"/>
      <c r="H380" s="362">
        <f>H377</f>
        <v>5104400</v>
      </c>
    </row>
    <row r="381" spans="1:8" s="8" customFormat="1" ht="22.5" customHeight="1">
      <c r="A381" s="147"/>
      <c r="B381" s="559" t="s">
        <v>270</v>
      </c>
      <c r="C381" s="559"/>
      <c r="D381" s="559"/>
      <c r="E381" s="559"/>
      <c r="F381" s="559"/>
      <c r="G381" s="559"/>
      <c r="H381" s="163"/>
    </row>
    <row r="382" spans="1:8" s="8" customFormat="1" ht="6" customHeight="1" hidden="1">
      <c r="A382" s="147"/>
      <c r="B382" s="163"/>
      <c r="C382" s="163"/>
      <c r="D382" s="164"/>
      <c r="E382" s="163"/>
      <c r="F382" s="163"/>
      <c r="G382" s="438"/>
      <c r="H382" s="163"/>
    </row>
    <row r="383" spans="1:8" s="8" customFormat="1" ht="30.75">
      <c r="A383" s="147"/>
      <c r="B383" s="50" t="s">
        <v>33</v>
      </c>
      <c r="C383" s="533" t="s">
        <v>40</v>
      </c>
      <c r="D383" s="535"/>
      <c r="E383" s="50" t="s">
        <v>54</v>
      </c>
      <c r="F383" s="50" t="s">
        <v>55</v>
      </c>
      <c r="G383" s="50" t="s">
        <v>47</v>
      </c>
      <c r="H383" s="163"/>
    </row>
    <row r="384" spans="1:8" s="8" customFormat="1" ht="15">
      <c r="A384" s="147"/>
      <c r="B384" s="50">
        <v>1</v>
      </c>
      <c r="C384" s="533">
        <v>2</v>
      </c>
      <c r="D384" s="535"/>
      <c r="E384" s="50">
        <v>3</v>
      </c>
      <c r="F384" s="50">
        <v>4</v>
      </c>
      <c r="G384" s="50">
        <v>5</v>
      </c>
      <c r="H384" s="163"/>
    </row>
    <row r="385" spans="1:8" s="8" customFormat="1" ht="42.75" customHeight="1">
      <c r="A385" s="147"/>
      <c r="B385" s="50">
        <v>1</v>
      </c>
      <c r="C385" s="569" t="s">
        <v>978</v>
      </c>
      <c r="D385" s="570"/>
      <c r="E385" s="173">
        <v>1</v>
      </c>
      <c r="F385" s="240">
        <f aca="true" t="shared" si="1" ref="F385:F397">G385/E385</f>
        <v>50000</v>
      </c>
      <c r="G385" s="239">
        <v>50000</v>
      </c>
      <c r="H385" s="244"/>
    </row>
    <row r="386" spans="1:8" s="8" customFormat="1" ht="28.5" customHeight="1" hidden="1">
      <c r="A386" s="147"/>
      <c r="B386" s="50">
        <v>2</v>
      </c>
      <c r="C386" s="569" t="s">
        <v>859</v>
      </c>
      <c r="D386" s="570"/>
      <c r="E386" s="173">
        <v>1</v>
      </c>
      <c r="F386" s="240">
        <f t="shared" si="1"/>
        <v>0</v>
      </c>
      <c r="G386" s="239">
        <v>0</v>
      </c>
      <c r="H386" s="244"/>
    </row>
    <row r="387" spans="1:8" s="8" customFormat="1" ht="15.75" customHeight="1">
      <c r="A387" s="147"/>
      <c r="B387" s="605" t="s">
        <v>984</v>
      </c>
      <c r="C387" s="606"/>
      <c r="D387" s="606"/>
      <c r="E387" s="606"/>
      <c r="F387" s="607"/>
      <c r="G387" s="462">
        <f>G385+G386</f>
        <v>50000</v>
      </c>
      <c r="H387" s="163"/>
    </row>
    <row r="388" spans="1:8" s="8" customFormat="1" ht="29.25" customHeight="1" hidden="1">
      <c r="A388" s="147"/>
      <c r="B388" s="50">
        <v>3</v>
      </c>
      <c r="C388" s="569" t="s">
        <v>858</v>
      </c>
      <c r="D388" s="570"/>
      <c r="E388" s="173">
        <v>9</v>
      </c>
      <c r="F388" s="240">
        <f t="shared" si="1"/>
        <v>0</v>
      </c>
      <c r="G388" s="239">
        <v>0</v>
      </c>
      <c r="H388" s="244"/>
    </row>
    <row r="389" spans="1:8" s="8" customFormat="1" ht="18" customHeight="1" hidden="1">
      <c r="A389" s="147"/>
      <c r="B389" s="605" t="s">
        <v>838</v>
      </c>
      <c r="C389" s="606"/>
      <c r="D389" s="606"/>
      <c r="E389" s="606"/>
      <c r="F389" s="607"/>
      <c r="G389" s="462">
        <f>G388</f>
        <v>0</v>
      </c>
      <c r="H389" s="163"/>
    </row>
    <row r="390" spans="1:8" s="8" customFormat="1" ht="64.5" customHeight="1" hidden="1">
      <c r="A390" s="147"/>
      <c r="B390" s="50">
        <v>4</v>
      </c>
      <c r="C390" s="569" t="s">
        <v>860</v>
      </c>
      <c r="D390" s="570"/>
      <c r="E390" s="173">
        <v>60</v>
      </c>
      <c r="F390" s="240">
        <f t="shared" si="1"/>
        <v>0</v>
      </c>
      <c r="G390" s="239">
        <v>0</v>
      </c>
      <c r="H390" s="244"/>
    </row>
    <row r="391" spans="1:8" s="8" customFormat="1" ht="60" customHeight="1" hidden="1">
      <c r="A391" s="147"/>
      <c r="B391" s="50">
        <v>5</v>
      </c>
      <c r="C391" s="569" t="s">
        <v>861</v>
      </c>
      <c r="D391" s="570"/>
      <c r="E391" s="173">
        <v>5</v>
      </c>
      <c r="F391" s="240">
        <f t="shared" si="1"/>
        <v>0</v>
      </c>
      <c r="G391" s="239">
        <v>0</v>
      </c>
      <c r="H391" s="244"/>
    </row>
    <row r="392" spans="1:8" s="8" customFormat="1" ht="46.5" customHeight="1" hidden="1">
      <c r="A392" s="147"/>
      <c r="B392" s="50">
        <v>6</v>
      </c>
      <c r="C392" s="569" t="s">
        <v>862</v>
      </c>
      <c r="D392" s="570"/>
      <c r="E392" s="173">
        <v>60</v>
      </c>
      <c r="F392" s="240">
        <f t="shared" si="1"/>
        <v>0</v>
      </c>
      <c r="G392" s="239">
        <v>0</v>
      </c>
      <c r="H392" s="244"/>
    </row>
    <row r="393" spans="1:8" s="8" customFormat="1" ht="33.75" customHeight="1" hidden="1">
      <c r="A393" s="147"/>
      <c r="B393" s="50">
        <v>7</v>
      </c>
      <c r="C393" s="571" t="s">
        <v>866</v>
      </c>
      <c r="D393" s="573"/>
      <c r="E393" s="173">
        <v>115</v>
      </c>
      <c r="F393" s="240">
        <f>G393/E393</f>
        <v>0</v>
      </c>
      <c r="G393" s="239">
        <v>0</v>
      </c>
      <c r="H393" s="244"/>
    </row>
    <row r="394" spans="1:8" s="8" customFormat="1" ht="18" customHeight="1" hidden="1">
      <c r="A394" s="147"/>
      <c r="B394" s="605" t="s">
        <v>855</v>
      </c>
      <c r="C394" s="606"/>
      <c r="D394" s="606"/>
      <c r="E394" s="606"/>
      <c r="F394" s="607"/>
      <c r="G394" s="462">
        <f>G390+G391+G392+G393</f>
        <v>0</v>
      </c>
      <c r="H394" s="163"/>
    </row>
    <row r="395" spans="1:8" s="8" customFormat="1" ht="61.5" customHeight="1" hidden="1">
      <c r="A395" s="147"/>
      <c r="B395" s="50">
        <v>8</v>
      </c>
      <c r="C395" s="569" t="s">
        <v>863</v>
      </c>
      <c r="D395" s="570"/>
      <c r="E395" s="173">
        <v>25</v>
      </c>
      <c r="F395" s="240">
        <f t="shared" si="1"/>
        <v>0</v>
      </c>
      <c r="G395" s="239">
        <v>0</v>
      </c>
      <c r="H395" s="244"/>
    </row>
    <row r="396" spans="1:8" s="8" customFormat="1" ht="60" customHeight="1" hidden="1">
      <c r="A396" s="147"/>
      <c r="B396" s="50">
        <v>9</v>
      </c>
      <c r="C396" s="569" t="s">
        <v>864</v>
      </c>
      <c r="D396" s="570"/>
      <c r="E396" s="173">
        <v>39</v>
      </c>
      <c r="F396" s="240">
        <f t="shared" si="1"/>
        <v>0</v>
      </c>
      <c r="G396" s="239">
        <v>0</v>
      </c>
      <c r="H396" s="244"/>
    </row>
    <row r="397" spans="1:8" s="8" customFormat="1" ht="46.5" customHeight="1" hidden="1">
      <c r="A397" s="147"/>
      <c r="B397" s="50">
        <v>10</v>
      </c>
      <c r="C397" s="569" t="s">
        <v>865</v>
      </c>
      <c r="D397" s="570"/>
      <c r="E397" s="173">
        <v>25</v>
      </c>
      <c r="F397" s="240">
        <f t="shared" si="1"/>
        <v>0</v>
      </c>
      <c r="G397" s="239">
        <v>0</v>
      </c>
      <c r="H397" s="244"/>
    </row>
    <row r="398" spans="1:8" s="8" customFormat="1" ht="18" customHeight="1" hidden="1">
      <c r="A398" s="147"/>
      <c r="B398" s="605" t="s">
        <v>856</v>
      </c>
      <c r="C398" s="606"/>
      <c r="D398" s="606"/>
      <c r="E398" s="606"/>
      <c r="F398" s="607"/>
      <c r="G398" s="462">
        <f>G395+G396+G397</f>
        <v>0</v>
      </c>
      <c r="H398" s="163"/>
    </row>
    <row r="399" spans="1:8" s="8" customFormat="1" ht="18" customHeight="1">
      <c r="A399" s="147"/>
      <c r="B399" s="574" t="s">
        <v>71</v>
      </c>
      <c r="C399" s="575"/>
      <c r="D399" s="575"/>
      <c r="E399" s="575"/>
      <c r="F399" s="576"/>
      <c r="G399" s="378">
        <f>G387+G389+G394+G398</f>
        <v>50000</v>
      </c>
      <c r="H399" s="163"/>
    </row>
    <row r="400" spans="1:8" s="8" customFormat="1" ht="13.5" customHeight="1">
      <c r="A400" s="147"/>
      <c r="B400" s="574" t="s">
        <v>984</v>
      </c>
      <c r="C400" s="575"/>
      <c r="D400" s="575"/>
      <c r="E400" s="575"/>
      <c r="F400" s="576"/>
      <c r="G400" s="378">
        <f>G387</f>
        <v>50000</v>
      </c>
      <c r="H400" s="163"/>
    </row>
    <row r="401" spans="1:8" s="8" customFormat="1" ht="18" customHeight="1" hidden="1">
      <c r="A401" s="147"/>
      <c r="B401" s="574" t="s">
        <v>838</v>
      </c>
      <c r="C401" s="575"/>
      <c r="D401" s="575"/>
      <c r="E401" s="575"/>
      <c r="F401" s="576"/>
      <c r="G401" s="378">
        <f>G388</f>
        <v>0</v>
      </c>
      <c r="H401" s="163"/>
    </row>
    <row r="402" spans="1:8" s="8" customFormat="1" ht="18" customHeight="1" hidden="1">
      <c r="A402" s="147"/>
      <c r="B402" s="574" t="s">
        <v>855</v>
      </c>
      <c r="C402" s="575"/>
      <c r="D402" s="575"/>
      <c r="E402" s="575"/>
      <c r="F402" s="576"/>
      <c r="G402" s="378">
        <f>G390+G391+G392+G393</f>
        <v>0</v>
      </c>
      <c r="H402" s="163"/>
    </row>
    <row r="403" spans="1:8" s="8" customFormat="1" ht="18" customHeight="1" hidden="1">
      <c r="A403" s="147"/>
      <c r="B403" s="574" t="s">
        <v>856</v>
      </c>
      <c r="C403" s="575"/>
      <c r="D403" s="575"/>
      <c r="E403" s="575"/>
      <c r="F403" s="576"/>
      <c r="G403" s="378">
        <f>G395+G396+G397</f>
        <v>0</v>
      </c>
      <c r="H403" s="163"/>
    </row>
    <row r="404" spans="1:8" s="8" customFormat="1" ht="36" customHeight="1">
      <c r="A404" s="147"/>
      <c r="B404" s="621" t="s">
        <v>273</v>
      </c>
      <c r="C404" s="621"/>
      <c r="D404" s="621"/>
      <c r="E404" s="621"/>
      <c r="F404" s="621"/>
      <c r="G404" s="621"/>
      <c r="H404" s="163"/>
    </row>
    <row r="405" spans="1:8" s="8" customFormat="1" ht="30.75">
      <c r="A405" s="147"/>
      <c r="B405" s="50" t="s">
        <v>33</v>
      </c>
      <c r="C405" s="533" t="s">
        <v>40</v>
      </c>
      <c r="D405" s="535"/>
      <c r="E405" s="50" t="s">
        <v>54</v>
      </c>
      <c r="F405" s="50" t="s">
        <v>55</v>
      </c>
      <c r="G405" s="50" t="s">
        <v>47</v>
      </c>
      <c r="H405" s="163"/>
    </row>
    <row r="406" spans="1:8" s="8" customFormat="1" ht="15">
      <c r="A406" s="147"/>
      <c r="B406" s="50">
        <v>1</v>
      </c>
      <c r="C406" s="533">
        <v>2</v>
      </c>
      <c r="D406" s="535"/>
      <c r="E406" s="50">
        <v>3</v>
      </c>
      <c r="F406" s="50">
        <v>4</v>
      </c>
      <c r="G406" s="50">
        <v>5</v>
      </c>
      <c r="H406" s="163"/>
    </row>
    <row r="407" spans="1:8" s="8" customFormat="1" ht="65.25" customHeight="1">
      <c r="A407" s="147"/>
      <c r="B407" s="50">
        <v>1</v>
      </c>
      <c r="C407" s="569" t="s">
        <v>979</v>
      </c>
      <c r="D407" s="570"/>
      <c r="E407" s="173">
        <v>20</v>
      </c>
      <c r="F407" s="240">
        <f>G407/E407</f>
        <v>5675</v>
      </c>
      <c r="G407" s="239">
        <v>113500</v>
      </c>
      <c r="H407" s="244"/>
    </row>
    <row r="408" spans="1:8" s="8" customFormat="1" ht="18" customHeight="1">
      <c r="A408" s="147"/>
      <c r="B408" s="533" t="s">
        <v>985</v>
      </c>
      <c r="C408" s="534"/>
      <c r="D408" s="534"/>
      <c r="E408" s="534"/>
      <c r="F408" s="535"/>
      <c r="G408" s="239">
        <f>G407</f>
        <v>113500</v>
      </c>
      <c r="H408" s="244"/>
    </row>
    <row r="409" spans="1:8" s="8" customFormat="1" ht="74.25" customHeight="1">
      <c r="A409" s="147"/>
      <c r="B409" s="50">
        <v>2</v>
      </c>
      <c r="C409" s="569" t="s">
        <v>980</v>
      </c>
      <c r="D409" s="570"/>
      <c r="E409" s="173">
        <v>20</v>
      </c>
      <c r="F409" s="240">
        <f>G409/E409</f>
        <v>5675</v>
      </c>
      <c r="G409" s="239">
        <v>113500</v>
      </c>
      <c r="H409" s="244"/>
    </row>
    <row r="410" spans="1:8" s="8" customFormat="1" ht="16.5" customHeight="1">
      <c r="A410" s="147"/>
      <c r="B410" s="533" t="s">
        <v>986</v>
      </c>
      <c r="C410" s="534"/>
      <c r="D410" s="534"/>
      <c r="E410" s="534"/>
      <c r="F410" s="535"/>
      <c r="G410" s="239">
        <f>G409</f>
        <v>113500</v>
      </c>
      <c r="H410" s="244"/>
    </row>
    <row r="411" spans="1:8" s="8" customFormat="1" ht="24.75" customHeight="1" hidden="1">
      <c r="A411" s="147"/>
      <c r="B411" s="50">
        <v>3</v>
      </c>
      <c r="C411" s="569" t="s">
        <v>930</v>
      </c>
      <c r="D411" s="570"/>
      <c r="E411" s="173">
        <v>1</v>
      </c>
      <c r="F411" s="240">
        <f>G411/E411</f>
        <v>0</v>
      </c>
      <c r="G411" s="239">
        <v>0</v>
      </c>
      <c r="H411" s="244"/>
    </row>
    <row r="412" spans="1:8" s="8" customFormat="1" ht="18" customHeight="1" hidden="1">
      <c r="A412" s="147"/>
      <c r="B412" s="533" t="s">
        <v>810</v>
      </c>
      <c r="C412" s="534"/>
      <c r="D412" s="534"/>
      <c r="E412" s="534"/>
      <c r="F412" s="535"/>
      <c r="G412" s="239">
        <f>G411</f>
        <v>0</v>
      </c>
      <c r="H412" s="244"/>
    </row>
    <row r="413" spans="1:8" s="8" customFormat="1" ht="56.25" customHeight="1" hidden="1">
      <c r="A413" s="147"/>
      <c r="B413" s="50">
        <v>4</v>
      </c>
      <c r="C413" s="569" t="s">
        <v>869</v>
      </c>
      <c r="D413" s="570"/>
      <c r="E413" s="173">
        <v>1</v>
      </c>
      <c r="F413" s="240">
        <f>G413/E413</f>
        <v>0</v>
      </c>
      <c r="G413" s="239">
        <v>0</v>
      </c>
      <c r="H413" s="244"/>
    </row>
    <row r="414" spans="1:8" s="8" customFormat="1" ht="18" customHeight="1" hidden="1">
      <c r="A414" s="147"/>
      <c r="B414" s="533" t="s">
        <v>870</v>
      </c>
      <c r="C414" s="534"/>
      <c r="D414" s="534"/>
      <c r="E414" s="534"/>
      <c r="F414" s="535"/>
      <c r="G414" s="239">
        <f>G413</f>
        <v>0</v>
      </c>
      <c r="H414" s="244"/>
    </row>
    <row r="415" spans="1:8" s="8" customFormat="1" ht="15">
      <c r="A415" s="147"/>
      <c r="B415" s="574" t="s">
        <v>57</v>
      </c>
      <c r="C415" s="575"/>
      <c r="D415" s="575"/>
      <c r="E415" s="575"/>
      <c r="F415" s="576"/>
      <c r="G415" s="68">
        <f>G407+G409+G411+G413</f>
        <v>227000</v>
      </c>
      <c r="H415" s="244"/>
    </row>
    <row r="416" spans="2:8" ht="14.25" customHeight="1">
      <c r="B416" s="641" t="s">
        <v>985</v>
      </c>
      <c r="C416" s="642"/>
      <c r="D416" s="642"/>
      <c r="E416" s="642"/>
      <c r="F416" s="643"/>
      <c r="G416" s="350">
        <f>G407</f>
        <v>113500</v>
      </c>
      <c r="H416" s="351"/>
    </row>
    <row r="417" spans="1:9" s="8" customFormat="1" ht="3.75" customHeight="1" hidden="1">
      <c r="A417" s="147"/>
      <c r="B417" s="653" t="s">
        <v>277</v>
      </c>
      <c r="C417" s="653"/>
      <c r="D417" s="653"/>
      <c r="E417" s="653"/>
      <c r="F417" s="653"/>
      <c r="G417" s="653"/>
      <c r="H417" s="163"/>
      <c r="I417" s="319"/>
    </row>
    <row r="418" spans="1:9" s="8" customFormat="1" ht="10.5" customHeight="1" hidden="1">
      <c r="A418" s="147"/>
      <c r="B418" s="163"/>
      <c r="C418" s="163"/>
      <c r="D418" s="164"/>
      <c r="E418" s="163"/>
      <c r="F418" s="163"/>
      <c r="G418" s="163"/>
      <c r="H418" s="163"/>
      <c r="I418" s="319"/>
    </row>
    <row r="419" spans="1:9" s="8" customFormat="1" ht="34.5" customHeight="1" hidden="1">
      <c r="A419" s="147"/>
      <c r="B419" s="50" t="s">
        <v>33</v>
      </c>
      <c r="C419" s="533" t="s">
        <v>40</v>
      </c>
      <c r="D419" s="535"/>
      <c r="E419" s="50" t="s">
        <v>54</v>
      </c>
      <c r="F419" s="50" t="s">
        <v>55</v>
      </c>
      <c r="G419" s="50" t="s">
        <v>47</v>
      </c>
      <c r="H419" s="163"/>
      <c r="I419" s="319"/>
    </row>
    <row r="420" spans="1:9" s="8" customFormat="1" ht="21" customHeight="1" hidden="1">
      <c r="A420" s="147"/>
      <c r="B420" s="194" t="s">
        <v>316</v>
      </c>
      <c r="C420" s="557" t="s">
        <v>411</v>
      </c>
      <c r="D420" s="558"/>
      <c r="E420" s="218">
        <v>90</v>
      </c>
      <c r="F420" s="218">
        <f>G420/E420</f>
        <v>0</v>
      </c>
      <c r="G420" s="239">
        <v>0</v>
      </c>
      <c r="H420" s="163"/>
      <c r="I420" s="319"/>
    </row>
    <row r="421" spans="1:9" s="8" customFormat="1" ht="51" customHeight="1" hidden="1">
      <c r="A421" s="147"/>
      <c r="B421" s="50"/>
      <c r="C421" s="569"/>
      <c r="D421" s="570"/>
      <c r="E421" s="173"/>
      <c r="F421" s="179"/>
      <c r="G421" s="241"/>
      <c r="H421" s="163"/>
      <c r="I421" s="319"/>
    </row>
    <row r="422" spans="1:9" s="8" customFormat="1" ht="18" customHeight="1" hidden="1">
      <c r="A422" s="147"/>
      <c r="B422" s="574" t="s">
        <v>231</v>
      </c>
      <c r="C422" s="575"/>
      <c r="D422" s="575"/>
      <c r="E422" s="575"/>
      <c r="F422" s="576"/>
      <c r="G422" s="251">
        <f>G420</f>
        <v>0</v>
      </c>
      <c r="H422" s="163"/>
      <c r="I422" s="319"/>
    </row>
    <row r="423" spans="2:9" ht="16.5" customHeight="1" hidden="1">
      <c r="B423" s="574" t="s">
        <v>560</v>
      </c>
      <c r="C423" s="575"/>
      <c r="D423" s="575"/>
      <c r="E423" s="575"/>
      <c r="F423" s="576"/>
      <c r="G423" s="252">
        <f>G422</f>
        <v>0</v>
      </c>
      <c r="I423" s="319"/>
    </row>
    <row r="424" spans="1:9" s="8" customFormat="1" ht="2.25" customHeight="1" hidden="1">
      <c r="A424" s="147"/>
      <c r="B424" s="653" t="s">
        <v>278</v>
      </c>
      <c r="C424" s="653"/>
      <c r="D424" s="653"/>
      <c r="E424" s="653"/>
      <c r="F424" s="653"/>
      <c r="G424" s="653"/>
      <c r="H424" s="163"/>
      <c r="I424" s="319"/>
    </row>
    <row r="425" spans="1:9" s="8" customFormat="1" ht="54" customHeight="1" hidden="1">
      <c r="A425" s="147"/>
      <c r="B425" s="163"/>
      <c r="C425" s="163"/>
      <c r="D425" s="164"/>
      <c r="E425" s="163"/>
      <c r="F425" s="163"/>
      <c r="G425" s="163"/>
      <c r="H425" s="163"/>
      <c r="I425" s="319"/>
    </row>
    <row r="426" spans="1:9" s="8" customFormat="1" ht="62.25" customHeight="1" hidden="1">
      <c r="A426" s="147"/>
      <c r="B426" s="50" t="s">
        <v>33</v>
      </c>
      <c r="C426" s="533" t="s">
        <v>40</v>
      </c>
      <c r="D426" s="535"/>
      <c r="E426" s="50" t="s">
        <v>54</v>
      </c>
      <c r="F426" s="50" t="s">
        <v>55</v>
      </c>
      <c r="G426" s="50" t="s">
        <v>47</v>
      </c>
      <c r="H426" s="163"/>
      <c r="I426" s="319"/>
    </row>
    <row r="427" spans="1:9" s="8" customFormat="1" ht="53.25" customHeight="1" hidden="1">
      <c r="A427" s="147"/>
      <c r="B427" s="194">
        <v>1</v>
      </c>
      <c r="C427" s="580">
        <v>2</v>
      </c>
      <c r="D427" s="581"/>
      <c r="E427" s="193">
        <v>3</v>
      </c>
      <c r="F427" s="193">
        <v>4</v>
      </c>
      <c r="G427" s="30">
        <v>5</v>
      </c>
      <c r="H427" s="163"/>
      <c r="I427" s="319"/>
    </row>
    <row r="428" spans="1:9" s="8" customFormat="1" ht="59.25" customHeight="1" hidden="1">
      <c r="A428" s="147"/>
      <c r="B428" s="194"/>
      <c r="C428" s="580"/>
      <c r="D428" s="583"/>
      <c r="E428" s="193"/>
      <c r="F428" s="218"/>
      <c r="G428" s="30"/>
      <c r="H428" s="163"/>
      <c r="I428" s="319"/>
    </row>
    <row r="429" spans="1:9" s="8" customFormat="1" ht="70.5" customHeight="1" hidden="1">
      <c r="A429" s="147"/>
      <c r="B429" s="50"/>
      <c r="C429" s="569"/>
      <c r="D429" s="570"/>
      <c r="E429" s="173"/>
      <c r="F429" s="179"/>
      <c r="G429" s="123"/>
      <c r="H429" s="163"/>
      <c r="I429" s="319"/>
    </row>
    <row r="430" spans="1:9" s="8" customFormat="1" ht="49.5" customHeight="1" hidden="1">
      <c r="A430" s="147"/>
      <c r="B430" s="574" t="s">
        <v>59</v>
      </c>
      <c r="C430" s="575"/>
      <c r="D430" s="575"/>
      <c r="E430" s="575"/>
      <c r="F430" s="576"/>
      <c r="G430" s="68">
        <f>G428</f>
        <v>0</v>
      </c>
      <c r="H430" s="163"/>
      <c r="I430" s="319"/>
    </row>
    <row r="431" ht="66.75" customHeight="1" hidden="1">
      <c r="I431" s="319"/>
    </row>
    <row r="432" spans="1:9" s="8" customFormat="1" ht="48" customHeight="1" hidden="1">
      <c r="A432" s="147"/>
      <c r="B432" s="559" t="s">
        <v>279</v>
      </c>
      <c r="C432" s="559"/>
      <c r="D432" s="559"/>
      <c r="E432" s="559"/>
      <c r="F432" s="559"/>
      <c r="G432" s="559"/>
      <c r="H432" s="163"/>
      <c r="I432" s="319"/>
    </row>
    <row r="433" spans="1:9" s="8" customFormat="1" ht="48" customHeight="1" hidden="1">
      <c r="A433" s="147"/>
      <c r="B433" s="163"/>
      <c r="C433" s="163"/>
      <c r="D433" s="164"/>
      <c r="E433" s="163"/>
      <c r="F433" s="163"/>
      <c r="G433" s="163"/>
      <c r="H433" s="163"/>
      <c r="I433" s="319"/>
    </row>
    <row r="434" spans="1:9" s="8" customFormat="1" ht="48.75" customHeight="1" hidden="1">
      <c r="A434" s="147"/>
      <c r="B434" s="50" t="s">
        <v>33</v>
      </c>
      <c r="C434" s="533" t="s">
        <v>40</v>
      </c>
      <c r="D434" s="535"/>
      <c r="E434" s="50" t="s">
        <v>54</v>
      </c>
      <c r="F434" s="50" t="s">
        <v>55</v>
      </c>
      <c r="G434" s="50" t="s">
        <v>47</v>
      </c>
      <c r="H434" s="163"/>
      <c r="I434" s="319"/>
    </row>
    <row r="435" spans="1:9" s="8" customFormat="1" ht="46.5" customHeight="1" hidden="1">
      <c r="A435" s="147"/>
      <c r="B435" s="194">
        <v>1</v>
      </c>
      <c r="C435" s="580">
        <v>2</v>
      </c>
      <c r="D435" s="581"/>
      <c r="E435" s="193">
        <v>3</v>
      </c>
      <c r="F435" s="193">
        <v>4</v>
      </c>
      <c r="G435" s="30">
        <v>5</v>
      </c>
      <c r="H435" s="163"/>
      <c r="I435" s="319"/>
    </row>
    <row r="436" spans="1:9" s="8" customFormat="1" ht="72.75" customHeight="1" hidden="1">
      <c r="A436" s="147"/>
      <c r="B436" s="194"/>
      <c r="C436" s="557"/>
      <c r="D436" s="558"/>
      <c r="E436" s="193"/>
      <c r="F436" s="193"/>
      <c r="G436" s="170"/>
      <c r="H436" s="163"/>
      <c r="I436" s="319"/>
    </row>
    <row r="437" spans="1:9" s="8" customFormat="1" ht="54" customHeight="1" hidden="1">
      <c r="A437" s="147"/>
      <c r="B437" s="50"/>
      <c r="C437" s="569"/>
      <c r="D437" s="570"/>
      <c r="E437" s="173"/>
      <c r="F437" s="184"/>
      <c r="G437" s="187"/>
      <c r="H437" s="163"/>
      <c r="I437" s="319"/>
    </row>
    <row r="438" spans="1:9" s="8" customFormat="1" ht="55.5" customHeight="1" hidden="1">
      <c r="A438" s="147"/>
      <c r="B438" s="574" t="s">
        <v>56</v>
      </c>
      <c r="C438" s="575"/>
      <c r="D438" s="575"/>
      <c r="E438" s="575"/>
      <c r="F438" s="576"/>
      <c r="G438" s="68">
        <f>SUM(G436:G437)</f>
        <v>0</v>
      </c>
      <c r="H438" s="163"/>
      <c r="I438" s="319"/>
    </row>
    <row r="439" ht="56.25" customHeight="1" hidden="1">
      <c r="I439" s="319"/>
    </row>
    <row r="440" spans="2:9" ht="65.25" customHeight="1" hidden="1">
      <c r="B440" s="582" t="s">
        <v>280</v>
      </c>
      <c r="C440" s="582"/>
      <c r="D440" s="582"/>
      <c r="E440" s="582"/>
      <c r="F440" s="582"/>
      <c r="G440" s="582"/>
      <c r="I440" s="319"/>
    </row>
    <row r="441" spans="2:9" ht="58.5" customHeight="1" hidden="1">
      <c r="B441" s="163"/>
      <c r="C441" s="163"/>
      <c r="D441" s="164"/>
      <c r="E441" s="163"/>
      <c r="F441" s="163"/>
      <c r="G441" s="163"/>
      <c r="I441" s="319"/>
    </row>
    <row r="442" spans="2:9" ht="62.25" customHeight="1" hidden="1">
      <c r="B442" s="50" t="s">
        <v>33</v>
      </c>
      <c r="C442" s="533" t="s">
        <v>40</v>
      </c>
      <c r="D442" s="535"/>
      <c r="E442" s="50" t="s">
        <v>50</v>
      </c>
      <c r="F442" s="50" t="s">
        <v>51</v>
      </c>
      <c r="G442" s="50" t="s">
        <v>47</v>
      </c>
      <c r="I442" s="319"/>
    </row>
    <row r="443" spans="2:9" s="131" customFormat="1" ht="61.5" customHeight="1" hidden="1">
      <c r="B443" s="194">
        <v>1</v>
      </c>
      <c r="C443" s="580">
        <v>2</v>
      </c>
      <c r="D443" s="581"/>
      <c r="E443" s="193">
        <v>3</v>
      </c>
      <c r="F443" s="193">
        <v>4</v>
      </c>
      <c r="G443" s="30">
        <v>5</v>
      </c>
      <c r="I443" s="319"/>
    </row>
    <row r="444" spans="2:9" s="131" customFormat="1" ht="60" customHeight="1" hidden="1">
      <c r="B444" s="194"/>
      <c r="C444" s="580"/>
      <c r="D444" s="583"/>
      <c r="E444" s="193"/>
      <c r="F444" s="193"/>
      <c r="G444" s="30"/>
      <c r="I444" s="319"/>
    </row>
    <row r="445" spans="2:9" s="131" customFormat="1" ht="45.75" customHeight="1" hidden="1">
      <c r="B445" s="50"/>
      <c r="C445" s="569"/>
      <c r="D445" s="570"/>
      <c r="E445" s="173"/>
      <c r="F445" s="179"/>
      <c r="G445" s="123"/>
      <c r="I445" s="319"/>
    </row>
    <row r="446" spans="2:9" s="131" customFormat="1" ht="66" customHeight="1" hidden="1">
      <c r="B446" s="574" t="s">
        <v>232</v>
      </c>
      <c r="C446" s="575"/>
      <c r="D446" s="575"/>
      <c r="E446" s="575"/>
      <c r="F446" s="576"/>
      <c r="G446" s="68">
        <v>0</v>
      </c>
      <c r="I446" s="319"/>
    </row>
    <row r="447" ht="114" customHeight="1" hidden="1">
      <c r="I447" s="319"/>
    </row>
    <row r="448" spans="2:9" s="131" customFormat="1" ht="46.5" customHeight="1" hidden="1">
      <c r="B448" s="582" t="s">
        <v>281</v>
      </c>
      <c r="C448" s="582"/>
      <c r="D448" s="582"/>
      <c r="E448" s="582"/>
      <c r="F448" s="582"/>
      <c r="G448" s="582"/>
      <c r="I448" s="319"/>
    </row>
    <row r="449" spans="2:9" s="131" customFormat="1" ht="45.75" customHeight="1" hidden="1">
      <c r="B449" s="163"/>
      <c r="C449" s="163"/>
      <c r="D449" s="164"/>
      <c r="E449" s="163"/>
      <c r="F449" s="163"/>
      <c r="G449" s="163"/>
      <c r="I449" s="319"/>
    </row>
    <row r="450" spans="2:9" s="131" customFormat="1" ht="49.5" customHeight="1" hidden="1">
      <c r="B450" s="50" t="s">
        <v>33</v>
      </c>
      <c r="C450" s="533" t="s">
        <v>40</v>
      </c>
      <c r="D450" s="535"/>
      <c r="E450" s="50" t="s">
        <v>54</v>
      </c>
      <c r="F450" s="50" t="s">
        <v>55</v>
      </c>
      <c r="G450" s="50" t="s">
        <v>47</v>
      </c>
      <c r="I450" s="319"/>
    </row>
    <row r="451" spans="2:9" s="131" customFormat="1" ht="30.75" customHeight="1" hidden="1">
      <c r="B451" s="194">
        <v>1</v>
      </c>
      <c r="C451" s="580">
        <v>2</v>
      </c>
      <c r="D451" s="581"/>
      <c r="E451" s="193">
        <v>3</v>
      </c>
      <c r="F451" s="193">
        <v>4</v>
      </c>
      <c r="G451" s="30">
        <v>5</v>
      </c>
      <c r="I451" s="319"/>
    </row>
    <row r="452" spans="2:9" s="131" customFormat="1" ht="42" customHeight="1" hidden="1">
      <c r="B452" s="194"/>
      <c r="C452" s="580"/>
      <c r="D452" s="583"/>
      <c r="E452" s="193"/>
      <c r="F452" s="218"/>
      <c r="G452" s="30"/>
      <c r="I452" s="319"/>
    </row>
    <row r="453" spans="2:9" s="131" customFormat="1" ht="52.5" customHeight="1" hidden="1">
      <c r="B453" s="50"/>
      <c r="C453" s="569"/>
      <c r="D453" s="570"/>
      <c r="E453" s="173"/>
      <c r="F453" s="179"/>
      <c r="G453" s="123"/>
      <c r="I453" s="319"/>
    </row>
    <row r="454" spans="2:9" s="131" customFormat="1" ht="45.75" customHeight="1" hidden="1">
      <c r="B454" s="574" t="s">
        <v>58</v>
      </c>
      <c r="C454" s="575"/>
      <c r="D454" s="575"/>
      <c r="E454" s="575"/>
      <c r="F454" s="576"/>
      <c r="G454" s="68">
        <f>G452</f>
        <v>0</v>
      </c>
      <c r="I454" s="319"/>
    </row>
    <row r="455" ht="33" customHeight="1" hidden="1">
      <c r="I455" s="319"/>
    </row>
    <row r="456" spans="2:9" s="131" customFormat="1" ht="24" customHeight="1" hidden="1">
      <c r="B456" s="626" t="s">
        <v>282</v>
      </c>
      <c r="C456" s="626"/>
      <c r="D456" s="626"/>
      <c r="E456" s="626"/>
      <c r="F456" s="626"/>
      <c r="G456" s="626"/>
      <c r="I456" s="319"/>
    </row>
    <row r="457" ht="24" customHeight="1" hidden="1">
      <c r="I457" s="319"/>
    </row>
    <row r="458" ht="44.25" customHeight="1" hidden="1">
      <c r="I458" s="319"/>
    </row>
    <row r="459" spans="1:9" s="8" customFormat="1" ht="19.5" customHeight="1" hidden="1">
      <c r="A459" s="147"/>
      <c r="B459" s="559" t="s">
        <v>279</v>
      </c>
      <c r="C459" s="559"/>
      <c r="D459" s="559"/>
      <c r="E459" s="559"/>
      <c r="F459" s="559"/>
      <c r="G459" s="559"/>
      <c r="H459" s="163"/>
      <c r="I459" s="319"/>
    </row>
    <row r="460" spans="1:9" s="8" customFormat="1" ht="5.25" customHeight="1" hidden="1">
      <c r="A460" s="147"/>
      <c r="B460" s="163"/>
      <c r="C460" s="163"/>
      <c r="D460" s="164"/>
      <c r="E460" s="163"/>
      <c r="F460" s="163"/>
      <c r="G460" s="163"/>
      <c r="H460" s="163"/>
      <c r="I460" s="319"/>
    </row>
    <row r="461" spans="1:8" s="8" customFormat="1" ht="30" customHeight="1" hidden="1">
      <c r="A461" s="147"/>
      <c r="B461" s="50" t="s">
        <v>33</v>
      </c>
      <c r="C461" s="533" t="s">
        <v>40</v>
      </c>
      <c r="D461" s="534"/>
      <c r="E461" s="535"/>
      <c r="F461" s="50" t="s">
        <v>54</v>
      </c>
      <c r="G461" s="50" t="s">
        <v>55</v>
      </c>
      <c r="H461" s="50" t="s">
        <v>47</v>
      </c>
    </row>
    <row r="462" spans="1:8" s="8" customFormat="1" ht="15.75" customHeight="1" hidden="1">
      <c r="A462" s="147"/>
      <c r="B462" s="27">
        <v>1</v>
      </c>
      <c r="C462" s="619">
        <v>2</v>
      </c>
      <c r="D462" s="654"/>
      <c r="E462" s="627"/>
      <c r="F462" s="173">
        <v>3</v>
      </c>
      <c r="G462" s="193">
        <v>4</v>
      </c>
      <c r="H462" s="30">
        <v>5</v>
      </c>
    </row>
    <row r="463" spans="1:9" s="8" customFormat="1" ht="21" customHeight="1" hidden="1">
      <c r="A463" s="147"/>
      <c r="B463" s="27">
        <v>1</v>
      </c>
      <c r="C463" s="571" t="s">
        <v>541</v>
      </c>
      <c r="D463" s="572"/>
      <c r="E463" s="573"/>
      <c r="F463" s="173">
        <v>29</v>
      </c>
      <c r="G463" s="240">
        <f>H463/F463</f>
        <v>420.6896551724138</v>
      </c>
      <c r="H463" s="238">
        <v>12200</v>
      </c>
      <c r="I463" s="319"/>
    </row>
    <row r="464" spans="1:8" s="8" customFormat="1" ht="15.75" customHeight="1" hidden="1">
      <c r="A464" s="147"/>
      <c r="B464" s="574" t="s">
        <v>56</v>
      </c>
      <c r="C464" s="575"/>
      <c r="D464" s="575"/>
      <c r="E464" s="575"/>
      <c r="F464" s="575"/>
      <c r="G464" s="576"/>
      <c r="H464" s="68">
        <f>SUM(H463:H463)</f>
        <v>12200</v>
      </c>
    </row>
    <row r="465" spans="1:8" s="8" customFormat="1" ht="15.75" customHeight="1" hidden="1">
      <c r="A465" s="147"/>
      <c r="B465" s="574" t="s">
        <v>499</v>
      </c>
      <c r="C465" s="575"/>
      <c r="D465" s="575"/>
      <c r="E465" s="575"/>
      <c r="F465" s="575"/>
      <c r="G465" s="576"/>
      <c r="H465" s="68">
        <f>H464</f>
        <v>12200</v>
      </c>
    </row>
    <row r="466" ht="15" hidden="1"/>
    <row r="467" spans="1:8" s="8" customFormat="1" ht="30.75" customHeight="1" hidden="1">
      <c r="A467" s="147"/>
      <c r="B467" s="559" t="s">
        <v>279</v>
      </c>
      <c r="C467" s="559"/>
      <c r="D467" s="559"/>
      <c r="E467" s="559"/>
      <c r="F467" s="559"/>
      <c r="G467" s="559"/>
      <c r="H467" s="163"/>
    </row>
    <row r="468" spans="1:8" s="8" customFormat="1" ht="15" hidden="1">
      <c r="A468" s="147"/>
      <c r="B468" s="163"/>
      <c r="C468" s="163"/>
      <c r="D468" s="164"/>
      <c r="E468" s="163"/>
      <c r="F468" s="163"/>
      <c r="G468" s="163"/>
      <c r="H468" s="163"/>
    </row>
    <row r="469" spans="1:8" s="8" customFormat="1" ht="30.75" hidden="1">
      <c r="A469" s="147"/>
      <c r="B469" s="50" t="s">
        <v>33</v>
      </c>
      <c r="C469" s="533" t="s">
        <v>40</v>
      </c>
      <c r="D469" s="535"/>
      <c r="E469" s="50" t="s">
        <v>54</v>
      </c>
      <c r="F469" s="50" t="s">
        <v>55</v>
      </c>
      <c r="G469" s="50" t="s">
        <v>47</v>
      </c>
      <c r="H469" s="163"/>
    </row>
    <row r="470" spans="1:8" s="8" customFormat="1" ht="15" hidden="1">
      <c r="A470" s="147"/>
      <c r="B470" s="194" t="s">
        <v>316</v>
      </c>
      <c r="C470" s="557" t="s">
        <v>317</v>
      </c>
      <c r="D470" s="558"/>
      <c r="E470" s="193" t="s">
        <v>449</v>
      </c>
      <c r="F470" s="193" t="s">
        <v>318</v>
      </c>
      <c r="G470" s="169">
        <f>1000/2-500</f>
        <v>0</v>
      </c>
      <c r="H470" s="163"/>
    </row>
    <row r="471" spans="1:8" s="8" customFormat="1" ht="15" hidden="1">
      <c r="A471" s="147"/>
      <c r="B471" s="50">
        <v>2</v>
      </c>
      <c r="C471" s="569" t="s">
        <v>319</v>
      </c>
      <c r="D471" s="570"/>
      <c r="E471" s="173">
        <v>100</v>
      </c>
      <c r="F471" s="184">
        <v>10</v>
      </c>
      <c r="G471" s="123">
        <f>2000/2-1000</f>
        <v>0</v>
      </c>
      <c r="H471" s="163"/>
    </row>
    <row r="472" spans="1:8" s="8" customFormat="1" ht="15.75" customHeight="1" hidden="1">
      <c r="A472" s="147"/>
      <c r="B472" s="50">
        <v>3</v>
      </c>
      <c r="C472" s="569" t="s">
        <v>320</v>
      </c>
      <c r="D472" s="570"/>
      <c r="E472" s="173">
        <v>40</v>
      </c>
      <c r="F472" s="184">
        <v>25</v>
      </c>
      <c r="G472" s="123">
        <f>2000/2-1000</f>
        <v>0</v>
      </c>
      <c r="H472" s="163"/>
    </row>
    <row r="473" spans="2:7" ht="15" hidden="1">
      <c r="B473" s="50">
        <v>4</v>
      </c>
      <c r="C473" s="569" t="s">
        <v>321</v>
      </c>
      <c r="D473" s="570"/>
      <c r="E473" s="173">
        <v>50</v>
      </c>
      <c r="F473" s="184">
        <v>20</v>
      </c>
      <c r="G473" s="123">
        <f>2000/2-1000</f>
        <v>0</v>
      </c>
    </row>
    <row r="474" spans="1:7" ht="30" customHeight="1" hidden="1">
      <c r="A474" s="6"/>
      <c r="B474" s="50">
        <v>5</v>
      </c>
      <c r="C474" s="569" t="s">
        <v>357</v>
      </c>
      <c r="D474" s="570"/>
      <c r="E474" s="173">
        <v>50</v>
      </c>
      <c r="F474" s="184">
        <v>100</v>
      </c>
      <c r="G474" s="123">
        <f>10000/2-5000</f>
        <v>0</v>
      </c>
    </row>
    <row r="475" spans="1:7" ht="34.5" customHeight="1" hidden="1">
      <c r="A475" s="6"/>
      <c r="B475" s="333">
        <v>1</v>
      </c>
      <c r="C475" s="578" t="s">
        <v>590</v>
      </c>
      <c r="D475" s="579"/>
      <c r="E475" s="334">
        <v>210</v>
      </c>
      <c r="F475" s="335">
        <f>G475/E475</f>
        <v>0</v>
      </c>
      <c r="G475" s="336">
        <v>0</v>
      </c>
    </row>
    <row r="476" spans="1:7" ht="15.75" customHeight="1" hidden="1">
      <c r="A476" s="6"/>
      <c r="B476" s="574" t="s">
        <v>56</v>
      </c>
      <c r="C476" s="575"/>
      <c r="D476" s="575"/>
      <c r="E476" s="575"/>
      <c r="F476" s="576"/>
      <c r="G476" s="68">
        <f>SUM(G470:G475)</f>
        <v>0</v>
      </c>
    </row>
    <row r="477" spans="1:7" ht="15.75" customHeight="1" hidden="1">
      <c r="A477" s="6"/>
      <c r="B477" s="652" t="s">
        <v>280</v>
      </c>
      <c r="C477" s="652"/>
      <c r="D477" s="652"/>
      <c r="E477" s="652"/>
      <c r="F477" s="652"/>
      <c r="G477" s="652"/>
    </row>
    <row r="478" spans="1:7" ht="15" hidden="1">
      <c r="A478" s="6"/>
      <c r="B478" s="163"/>
      <c r="C478" s="163"/>
      <c r="D478" s="164"/>
      <c r="E478" s="163"/>
      <c r="F478" s="163"/>
      <c r="G478" s="163"/>
    </row>
    <row r="479" spans="1:7" ht="15" hidden="1">
      <c r="A479" s="6"/>
      <c r="B479" s="194">
        <v>1</v>
      </c>
      <c r="C479" s="580">
        <v>2</v>
      </c>
      <c r="D479" s="581"/>
      <c r="E479" s="193">
        <v>3</v>
      </c>
      <c r="F479" s="193">
        <v>4</v>
      </c>
      <c r="G479" s="30">
        <v>5</v>
      </c>
    </row>
    <row r="480" spans="2:9" s="131" customFormat="1" ht="15" hidden="1">
      <c r="B480" s="194"/>
      <c r="C480" s="580"/>
      <c r="D480" s="583"/>
      <c r="E480" s="193"/>
      <c r="F480" s="193"/>
      <c r="G480" s="30"/>
      <c r="I480" s="6"/>
    </row>
    <row r="481" spans="1:7" ht="15" hidden="1">
      <c r="A481" s="6"/>
      <c r="B481" s="50"/>
      <c r="C481" s="569"/>
      <c r="D481" s="570"/>
      <c r="E481" s="173"/>
      <c r="F481" s="179"/>
      <c r="G481" s="123"/>
    </row>
    <row r="482" spans="2:9" s="131" customFormat="1" ht="36.75" customHeight="1" hidden="1">
      <c r="B482" s="574" t="s">
        <v>232</v>
      </c>
      <c r="C482" s="575"/>
      <c r="D482" s="575"/>
      <c r="E482" s="575"/>
      <c r="F482" s="576"/>
      <c r="G482" s="68">
        <v>0</v>
      </c>
      <c r="I482" s="6"/>
    </row>
    <row r="483" spans="2:9" s="131" customFormat="1" ht="15" hidden="1">
      <c r="B483" s="147"/>
      <c r="C483" s="147"/>
      <c r="D483" s="147"/>
      <c r="E483" s="147"/>
      <c r="F483" s="147"/>
      <c r="G483" s="147"/>
      <c r="I483" s="6"/>
    </row>
    <row r="484" spans="2:8" ht="15.75" customHeight="1" hidden="1">
      <c r="B484" s="641" t="s">
        <v>588</v>
      </c>
      <c r="C484" s="642"/>
      <c r="D484" s="642"/>
      <c r="E484" s="642"/>
      <c r="F484" s="643"/>
      <c r="G484" s="350">
        <f>G475</f>
        <v>0</v>
      </c>
      <c r="H484" s="351"/>
    </row>
    <row r="485" spans="2:9" s="131" customFormat="1" ht="44.25" customHeight="1" hidden="1">
      <c r="B485" s="651" t="s">
        <v>281</v>
      </c>
      <c r="C485" s="651"/>
      <c r="D485" s="651"/>
      <c r="E485" s="651"/>
      <c r="F485" s="651"/>
      <c r="G485" s="651"/>
      <c r="I485" s="6"/>
    </row>
    <row r="486" spans="2:9" s="131" customFormat="1" ht="30.75" hidden="1">
      <c r="B486" s="50" t="s">
        <v>33</v>
      </c>
      <c r="C486" s="533" t="s">
        <v>40</v>
      </c>
      <c r="D486" s="535"/>
      <c r="E486" s="50" t="s">
        <v>54</v>
      </c>
      <c r="F486" s="50" t="s">
        <v>55</v>
      </c>
      <c r="G486" s="50" t="s">
        <v>47</v>
      </c>
      <c r="I486" s="6"/>
    </row>
    <row r="487" spans="2:9" s="131" customFormat="1" ht="153.75" customHeight="1" hidden="1">
      <c r="B487" s="194" t="s">
        <v>316</v>
      </c>
      <c r="C487" s="557" t="s">
        <v>591</v>
      </c>
      <c r="D487" s="558"/>
      <c r="E487" s="267" t="s">
        <v>445</v>
      </c>
      <c r="F487" s="322">
        <f>G487/E487</f>
        <v>0</v>
      </c>
      <c r="G487" s="315">
        <v>0</v>
      </c>
      <c r="H487" s="316"/>
      <c r="I487" s="6"/>
    </row>
    <row r="488" spans="1:7" ht="15" hidden="1">
      <c r="A488" s="6"/>
      <c r="B488" s="50"/>
      <c r="C488" s="569"/>
      <c r="D488" s="570"/>
      <c r="E488" s="173"/>
      <c r="F488" s="179"/>
      <c r="G488" s="123"/>
    </row>
    <row r="489" spans="2:9" s="131" customFormat="1" ht="15.75" customHeight="1" hidden="1">
      <c r="B489" s="574" t="s">
        <v>58</v>
      </c>
      <c r="C489" s="575"/>
      <c r="D489" s="575"/>
      <c r="E489" s="575"/>
      <c r="F489" s="576"/>
      <c r="G489" s="68">
        <f>G487</f>
        <v>0</v>
      </c>
      <c r="I489" s="6"/>
    </row>
    <row r="490" spans="2:8" ht="15.75" customHeight="1" hidden="1">
      <c r="B490" s="641" t="s">
        <v>588</v>
      </c>
      <c r="C490" s="642"/>
      <c r="D490" s="642"/>
      <c r="E490" s="642"/>
      <c r="F490" s="643"/>
      <c r="G490" s="350">
        <f>G487</f>
        <v>0</v>
      </c>
      <c r="H490" s="351"/>
    </row>
    <row r="491" ht="15" hidden="1"/>
    <row r="492" spans="2:8" ht="14.25" customHeight="1">
      <c r="B492" s="641" t="s">
        <v>986</v>
      </c>
      <c r="C492" s="642"/>
      <c r="D492" s="642"/>
      <c r="E492" s="642"/>
      <c r="F492" s="643"/>
      <c r="G492" s="350">
        <f>G409</f>
        <v>113500</v>
      </c>
      <c r="H492" s="351"/>
    </row>
    <row r="493" spans="2:8" ht="14.25" customHeight="1" hidden="1">
      <c r="B493" s="641" t="s">
        <v>703</v>
      </c>
      <c r="C493" s="642"/>
      <c r="D493" s="642"/>
      <c r="E493" s="642"/>
      <c r="F493" s="643"/>
      <c r="G493" s="350">
        <f>G411</f>
        <v>0</v>
      </c>
      <c r="H493" s="351"/>
    </row>
    <row r="494" spans="1:8" s="8" customFormat="1" ht="0.75" customHeight="1" hidden="1">
      <c r="A494" s="147"/>
      <c r="B494" s="653" t="s">
        <v>278</v>
      </c>
      <c r="C494" s="653"/>
      <c r="D494" s="653"/>
      <c r="E494" s="653"/>
      <c r="F494" s="653"/>
      <c r="G494" s="653"/>
      <c r="H494" s="163"/>
    </row>
    <row r="495" spans="1:8" s="8" customFormat="1" ht="1.5" customHeight="1" hidden="1">
      <c r="A495" s="147"/>
      <c r="B495" s="163"/>
      <c r="C495" s="163"/>
      <c r="D495" s="164"/>
      <c r="E495" s="163"/>
      <c r="F495" s="163"/>
      <c r="G495" s="163"/>
      <c r="H495" s="163"/>
    </row>
    <row r="496" spans="1:8" s="8" customFormat="1" ht="26.25" customHeight="1" hidden="1">
      <c r="A496" s="147"/>
      <c r="B496" s="50" t="s">
        <v>33</v>
      </c>
      <c r="C496" s="533" t="s">
        <v>40</v>
      </c>
      <c r="D496" s="535"/>
      <c r="E496" s="50" t="s">
        <v>54</v>
      </c>
      <c r="F496" s="50" t="s">
        <v>55</v>
      </c>
      <c r="G496" s="50" t="s">
        <v>47</v>
      </c>
      <c r="H496" s="163"/>
    </row>
    <row r="497" spans="1:8" s="8" customFormat="1" ht="24.75" customHeight="1" hidden="1">
      <c r="A497" s="147"/>
      <c r="B497" s="194">
        <v>1</v>
      </c>
      <c r="C497" s="580">
        <v>2</v>
      </c>
      <c r="D497" s="583"/>
      <c r="E497" s="193">
        <v>3</v>
      </c>
      <c r="F497" s="193">
        <v>4</v>
      </c>
      <c r="G497" s="30">
        <v>5</v>
      </c>
      <c r="H497" s="163"/>
    </row>
    <row r="498" spans="1:8" s="8" customFormat="1" ht="52.5" customHeight="1" hidden="1">
      <c r="A498" s="147"/>
      <c r="B498" s="194" t="s">
        <v>316</v>
      </c>
      <c r="C498" s="557" t="s">
        <v>779</v>
      </c>
      <c r="D498" s="558"/>
      <c r="E498" s="193" t="s">
        <v>776</v>
      </c>
      <c r="F498" s="218">
        <f>G498/E498</f>
        <v>0</v>
      </c>
      <c r="G498" s="238">
        <f>4383-4383</f>
        <v>0</v>
      </c>
      <c r="H498" s="163"/>
    </row>
    <row r="499" spans="1:8" s="8" customFormat="1" ht="25.5" customHeight="1" hidden="1">
      <c r="A499" s="147"/>
      <c r="B499" s="574" t="s">
        <v>59</v>
      </c>
      <c r="C499" s="575"/>
      <c r="D499" s="575"/>
      <c r="E499" s="575"/>
      <c r="F499" s="576"/>
      <c r="G499" s="68">
        <f>G498</f>
        <v>0</v>
      </c>
      <c r="H499" s="163"/>
    </row>
    <row r="500" spans="2:8" ht="14.25" customHeight="1" hidden="1">
      <c r="B500" s="641" t="s">
        <v>703</v>
      </c>
      <c r="C500" s="642"/>
      <c r="D500" s="642"/>
      <c r="E500" s="642"/>
      <c r="F500" s="643"/>
      <c r="G500" s="350">
        <f>G499</f>
        <v>0</v>
      </c>
      <c r="H500" s="351"/>
    </row>
    <row r="501" spans="1:8" s="8" customFormat="1" ht="1.5" customHeight="1" hidden="1">
      <c r="A501" s="147"/>
      <c r="B501" s="653" t="s">
        <v>279</v>
      </c>
      <c r="C501" s="653"/>
      <c r="D501" s="653"/>
      <c r="E501" s="653"/>
      <c r="F501" s="653"/>
      <c r="G501" s="653"/>
      <c r="H501"/>
    </row>
    <row r="502" spans="1:8" s="8" customFormat="1" ht="15" hidden="1">
      <c r="A502" s="147"/>
      <c r="B502"/>
      <c r="C502"/>
      <c r="D502"/>
      <c r="E502"/>
      <c r="F502"/>
      <c r="G502" s="438"/>
      <c r="H502"/>
    </row>
    <row r="503" spans="1:8" s="8" customFormat="1" ht="30.75" hidden="1">
      <c r="A503" s="147"/>
      <c r="B503" s="50" t="s">
        <v>33</v>
      </c>
      <c r="C503" s="533" t="s">
        <v>40</v>
      </c>
      <c r="D503" s="535"/>
      <c r="E503" s="50" t="s">
        <v>54</v>
      </c>
      <c r="F503" s="50" t="s">
        <v>55</v>
      </c>
      <c r="G503" s="431" t="s">
        <v>47</v>
      </c>
      <c r="H503"/>
    </row>
    <row r="504" spans="1:8" s="8" customFormat="1" ht="15" hidden="1">
      <c r="A504" s="147"/>
      <c r="B504" t="s">
        <v>316</v>
      </c>
      <c r="C504" s="557" t="s">
        <v>317</v>
      </c>
      <c r="D504" s="558"/>
      <c r="E504" t="s">
        <v>449</v>
      </c>
      <c r="F504" t="s">
        <v>318</v>
      </c>
      <c r="G504" s="441">
        <f>1000/2-500</f>
        <v>0</v>
      </c>
      <c r="H504"/>
    </row>
    <row r="505" spans="1:8" s="8" customFormat="1" ht="15" hidden="1">
      <c r="A505" s="147"/>
      <c r="B505" s="50">
        <v>2</v>
      </c>
      <c r="C505" s="569" t="s">
        <v>319</v>
      </c>
      <c r="D505" s="570"/>
      <c r="E505">
        <v>100</v>
      </c>
      <c r="F505">
        <v>10</v>
      </c>
      <c r="G505" s="433">
        <f>2000/2-1000</f>
        <v>0</v>
      </c>
      <c r="H505"/>
    </row>
    <row r="506" spans="1:8" s="8" customFormat="1" ht="15.75" customHeight="1" hidden="1">
      <c r="A506" s="147"/>
      <c r="B506" s="50">
        <v>3</v>
      </c>
      <c r="C506" s="569" t="s">
        <v>320</v>
      </c>
      <c r="D506" s="570"/>
      <c r="E506">
        <v>40</v>
      </c>
      <c r="F506">
        <v>25</v>
      </c>
      <c r="G506" s="433">
        <f>2000/2-1000</f>
        <v>0</v>
      </c>
      <c r="H506"/>
    </row>
    <row r="507" spans="2:7" ht="15" hidden="1">
      <c r="B507" s="50">
        <v>4</v>
      </c>
      <c r="C507" s="569" t="s">
        <v>321</v>
      </c>
      <c r="D507" s="570"/>
      <c r="E507">
        <v>50</v>
      </c>
      <c r="F507">
        <v>20</v>
      </c>
      <c r="G507" s="433">
        <f>2000/2-1000</f>
        <v>0</v>
      </c>
    </row>
    <row r="508" spans="1:7" ht="30" customHeight="1" hidden="1">
      <c r="A508" s="6"/>
      <c r="B508" s="50">
        <v>5</v>
      </c>
      <c r="C508" s="569" t="s">
        <v>357</v>
      </c>
      <c r="D508" s="570"/>
      <c r="E508">
        <v>50</v>
      </c>
      <c r="F508">
        <v>100</v>
      </c>
      <c r="G508" s="433">
        <f>10000/2-5000</f>
        <v>0</v>
      </c>
    </row>
    <row r="509" spans="1:7" ht="153.75" customHeight="1" hidden="1">
      <c r="A509" s="6"/>
      <c r="B509" s="333">
        <v>1</v>
      </c>
      <c r="C509" s="578" t="s">
        <v>772</v>
      </c>
      <c r="D509" s="579"/>
      <c r="E509" s="334">
        <v>200</v>
      </c>
      <c r="F509" s="335">
        <f>G509/E509</f>
        <v>117.3</v>
      </c>
      <c r="G509" s="433">
        <v>23460</v>
      </c>
    </row>
    <row r="510" spans="1:7" ht="15" hidden="1">
      <c r="A510" s="6"/>
      <c r="B510" s="574" t="s">
        <v>56</v>
      </c>
      <c r="C510" s="575"/>
      <c r="D510" s="575"/>
      <c r="E510" s="575"/>
      <c r="F510" s="576"/>
      <c r="G510" s="440">
        <f>SUM(G504:G509)</f>
        <v>23460</v>
      </c>
    </row>
    <row r="511" spans="1:7" ht="15.75" customHeight="1" hidden="1">
      <c r="A511" s="6"/>
      <c r="B511" s="652" t="s">
        <v>280</v>
      </c>
      <c r="C511" s="652"/>
      <c r="D511" s="652"/>
      <c r="E511" s="652"/>
      <c r="F511" s="652"/>
      <c r="G511" s="652"/>
    </row>
    <row r="512" spans="1:7" ht="15" hidden="1">
      <c r="A512" s="6"/>
      <c r="B512"/>
      <c r="C512"/>
      <c r="D512"/>
      <c r="E512"/>
      <c r="F512"/>
      <c r="G512" s="438"/>
    </row>
    <row r="513" spans="1:7" ht="15" hidden="1">
      <c r="A513" s="6"/>
      <c r="B513">
        <v>1</v>
      </c>
      <c r="C513" s="580">
        <v>2</v>
      </c>
      <c r="D513" s="581"/>
      <c r="E513">
        <v>3</v>
      </c>
      <c r="F513">
        <v>4</v>
      </c>
      <c r="G513" s="439">
        <v>5</v>
      </c>
    </row>
    <row r="514" spans="2:9" s="131" customFormat="1" ht="15" hidden="1">
      <c r="B514"/>
      <c r="C514" s="580"/>
      <c r="D514" s="583"/>
      <c r="E514"/>
      <c r="F514"/>
      <c r="G514" s="439"/>
      <c r="I514" s="6"/>
    </row>
    <row r="515" spans="1:7" ht="15" hidden="1">
      <c r="A515" s="6"/>
      <c r="B515" s="50"/>
      <c r="C515" s="569"/>
      <c r="D515" s="570"/>
      <c r="E515"/>
      <c r="F515"/>
      <c r="G515" s="433"/>
    </row>
    <row r="516" spans="2:9" s="131" customFormat="1" ht="36.75" customHeight="1" hidden="1">
      <c r="B516" s="574" t="s">
        <v>232</v>
      </c>
      <c r="C516" s="575"/>
      <c r="D516" s="575"/>
      <c r="E516" s="575"/>
      <c r="F516" s="576"/>
      <c r="G516" s="440">
        <v>0</v>
      </c>
      <c r="I516" s="6"/>
    </row>
    <row r="517" spans="2:9" s="131" customFormat="1" ht="15" hidden="1">
      <c r="B517" s="147"/>
      <c r="C517" s="147"/>
      <c r="D517" s="147"/>
      <c r="E517" s="147"/>
      <c r="F517" s="147"/>
      <c r="G517" s="437"/>
      <c r="I517" s="6"/>
    </row>
    <row r="518" spans="2:8" ht="15" hidden="1">
      <c r="B518" s="679" t="s">
        <v>703</v>
      </c>
      <c r="C518" s="680"/>
      <c r="D518" s="680"/>
      <c r="E518" s="680"/>
      <c r="F518" s="681"/>
      <c r="G518" s="350">
        <f>G509+G511+G512</f>
        <v>23460</v>
      </c>
      <c r="H518" s="351"/>
    </row>
    <row r="519" spans="2:9" s="131" customFormat="1" ht="0.75" customHeight="1" hidden="1">
      <c r="B519" s="651" t="s">
        <v>281</v>
      </c>
      <c r="C519" s="651"/>
      <c r="D519" s="651"/>
      <c r="E519" s="651"/>
      <c r="F519" s="651"/>
      <c r="G519" s="651"/>
      <c r="I519" s="6"/>
    </row>
    <row r="520" spans="2:9" s="131" customFormat="1" ht="30.75" hidden="1">
      <c r="B520" s="50" t="s">
        <v>33</v>
      </c>
      <c r="C520" s="533" t="s">
        <v>40</v>
      </c>
      <c r="D520" s="535"/>
      <c r="E520" s="50" t="s">
        <v>54</v>
      </c>
      <c r="F520" s="50" t="s">
        <v>55</v>
      </c>
      <c r="G520" s="431" t="s">
        <v>47</v>
      </c>
      <c r="I520" s="6"/>
    </row>
    <row r="521" spans="2:9" s="131" customFormat="1" ht="244.5" customHeight="1" hidden="1">
      <c r="B521" t="s">
        <v>316</v>
      </c>
      <c r="C521" s="557" t="s">
        <v>780</v>
      </c>
      <c r="D521" s="558"/>
      <c r="E521" s="432" t="s">
        <v>445</v>
      </c>
      <c r="F521" s="436">
        <f>G521/E521</f>
        <v>0</v>
      </c>
      <c r="G521" s="435">
        <v>0</v>
      </c>
      <c r="H521" s="316"/>
      <c r="I521" s="6"/>
    </row>
    <row r="522" spans="1:7" ht="4.5" customHeight="1" hidden="1">
      <c r="A522" s="6"/>
      <c r="B522" s="50"/>
      <c r="C522" s="569"/>
      <c r="D522" s="570"/>
      <c r="E522"/>
      <c r="F522"/>
      <c r="G522" s="433"/>
    </row>
    <row r="523" spans="2:9" s="131" customFormat="1" ht="15" hidden="1">
      <c r="B523" s="574" t="s">
        <v>58</v>
      </c>
      <c r="C523" s="575"/>
      <c r="D523" s="575"/>
      <c r="E523" s="575"/>
      <c r="F523" s="576"/>
      <c r="G523" s="440">
        <f>G521</f>
        <v>0</v>
      </c>
      <c r="I523" s="6"/>
    </row>
    <row r="524" spans="2:8" ht="14.25" customHeight="1" hidden="1">
      <c r="B524" s="679" t="s">
        <v>810</v>
      </c>
      <c r="C524" s="680"/>
      <c r="D524" s="680"/>
      <c r="E524" s="680"/>
      <c r="F524" s="681"/>
      <c r="G524" s="350">
        <f>G411</f>
        <v>0</v>
      </c>
      <c r="H524" s="351"/>
    </row>
    <row r="525" spans="2:8" ht="14.25" customHeight="1" hidden="1">
      <c r="B525" s="679" t="s">
        <v>870</v>
      </c>
      <c r="C525" s="680"/>
      <c r="D525" s="680"/>
      <c r="E525" s="680"/>
      <c r="F525" s="681"/>
      <c r="G525" s="350">
        <f>G414</f>
        <v>0</v>
      </c>
      <c r="H525" s="351"/>
    </row>
    <row r="526" spans="1:8" s="8" customFormat="1" ht="1.5" customHeight="1">
      <c r="A526" s="147"/>
      <c r="B526" s="559" t="s">
        <v>636</v>
      </c>
      <c r="C526" s="559"/>
      <c r="D526" s="559"/>
      <c r="E526" s="559"/>
      <c r="F526" s="559"/>
      <c r="G526" s="559"/>
      <c r="H526" s="163"/>
    </row>
    <row r="527" spans="1:8" s="8" customFormat="1" ht="15" hidden="1">
      <c r="A527" s="147"/>
      <c r="B527" s="163"/>
      <c r="C527" s="163"/>
      <c r="D527" s="164"/>
      <c r="E527" s="163"/>
      <c r="F527" s="163"/>
      <c r="G527" s="438"/>
      <c r="H527" s="163"/>
    </row>
    <row r="528" spans="1:8" s="8" customFormat="1" ht="30.75" hidden="1">
      <c r="A528" s="147"/>
      <c r="B528" s="50" t="s">
        <v>33</v>
      </c>
      <c r="C528" s="533" t="s">
        <v>40</v>
      </c>
      <c r="D528" s="535"/>
      <c r="E528" s="50" t="s">
        <v>54</v>
      </c>
      <c r="F528" s="50" t="s">
        <v>55</v>
      </c>
      <c r="G528" s="431" t="s">
        <v>47</v>
      </c>
      <c r="H528" s="163"/>
    </row>
    <row r="529" spans="1:8" s="8" customFormat="1" ht="15" hidden="1">
      <c r="A529" s="147"/>
      <c r="B529" s="50">
        <v>1</v>
      </c>
      <c r="C529" s="533">
        <v>2</v>
      </c>
      <c r="D529" s="535"/>
      <c r="E529" s="50">
        <v>3</v>
      </c>
      <c r="F529" s="50">
        <v>4</v>
      </c>
      <c r="G529" s="431">
        <v>5</v>
      </c>
      <c r="H529" s="163"/>
    </row>
    <row r="530" spans="1:8" s="8" customFormat="1" ht="25.5" customHeight="1" hidden="1">
      <c r="A530" s="147"/>
      <c r="B530" s="27">
        <v>1</v>
      </c>
      <c r="C530" s="571" t="s">
        <v>831</v>
      </c>
      <c r="D530" s="573"/>
      <c r="E530" s="173">
        <v>5</v>
      </c>
      <c r="F530" s="179">
        <f>G530/E530</f>
        <v>0</v>
      </c>
      <c r="G530" s="433">
        <v>0</v>
      </c>
      <c r="H530" s="163"/>
    </row>
    <row r="531" spans="1:8" s="8" customFormat="1" ht="15" hidden="1">
      <c r="A531" s="147"/>
      <c r="B531" s="50"/>
      <c r="C531" s="569"/>
      <c r="D531" s="570"/>
      <c r="E531" s="173"/>
      <c r="F531" s="179"/>
      <c r="G531" s="433"/>
      <c r="H531" s="163"/>
    </row>
    <row r="532" spans="1:8" s="8" customFormat="1" ht="15" hidden="1">
      <c r="A532" s="147"/>
      <c r="B532" s="574" t="s">
        <v>229</v>
      </c>
      <c r="C532" s="575"/>
      <c r="D532" s="575"/>
      <c r="E532" s="575"/>
      <c r="F532" s="576"/>
      <c r="G532" s="440">
        <f>G530</f>
        <v>0</v>
      </c>
      <c r="H532" s="163"/>
    </row>
    <row r="533" spans="1:8" s="8" customFormat="1" ht="20.25" customHeight="1" hidden="1">
      <c r="A533" s="147"/>
      <c r="B533" s="574" t="s">
        <v>817</v>
      </c>
      <c r="C533" s="575"/>
      <c r="D533" s="575"/>
      <c r="E533" s="575"/>
      <c r="F533" s="576"/>
      <c r="G533" s="440">
        <f>G532</f>
        <v>0</v>
      </c>
      <c r="H533" s="163"/>
    </row>
    <row r="534" spans="1:8" s="8" customFormat="1" ht="23.25" customHeight="1" hidden="1">
      <c r="A534" s="147"/>
      <c r="B534" s="559" t="s">
        <v>278</v>
      </c>
      <c r="C534" s="559"/>
      <c r="D534" s="559"/>
      <c r="E534" s="559"/>
      <c r="F534" s="559"/>
      <c r="G534" s="559"/>
      <c r="H534" s="163"/>
    </row>
    <row r="535" spans="1:8" s="8" customFormat="1" ht="1.5" customHeight="1" hidden="1">
      <c r="A535" s="147"/>
      <c r="B535" s="163"/>
      <c r="C535" s="163"/>
      <c r="D535" s="164"/>
      <c r="E535" s="163"/>
      <c r="F535" s="163"/>
      <c r="G535" s="163"/>
      <c r="H535" s="163"/>
    </row>
    <row r="536" spans="1:8" s="8" customFormat="1" ht="26.25" customHeight="1" hidden="1">
      <c r="A536" s="147"/>
      <c r="B536" s="50" t="s">
        <v>33</v>
      </c>
      <c r="C536" s="533" t="s">
        <v>40</v>
      </c>
      <c r="D536" s="535"/>
      <c r="E536" s="50" t="s">
        <v>54</v>
      </c>
      <c r="F536" s="50" t="s">
        <v>55</v>
      </c>
      <c r="G536" s="50" t="s">
        <v>47</v>
      </c>
      <c r="H536" s="163"/>
    </row>
    <row r="537" spans="1:8" s="8" customFormat="1" ht="24.75" customHeight="1" hidden="1">
      <c r="A537" s="147"/>
      <c r="B537" s="194">
        <v>1</v>
      </c>
      <c r="C537" s="580">
        <v>2</v>
      </c>
      <c r="D537" s="583"/>
      <c r="E537" s="193">
        <v>3</v>
      </c>
      <c r="F537" s="193">
        <v>4</v>
      </c>
      <c r="G537" s="30">
        <v>5</v>
      </c>
      <c r="H537" s="163"/>
    </row>
    <row r="538" spans="1:8" s="8" customFormat="1" ht="115.5" customHeight="1" hidden="1">
      <c r="A538" s="147"/>
      <c r="B538" s="194" t="s">
        <v>316</v>
      </c>
      <c r="C538" s="557" t="s">
        <v>905</v>
      </c>
      <c r="D538" s="558"/>
      <c r="E538" s="193" t="s">
        <v>908</v>
      </c>
      <c r="F538" s="218">
        <f>G538/E538</f>
        <v>0</v>
      </c>
      <c r="G538" s="238">
        <v>0</v>
      </c>
      <c r="H538" s="163"/>
    </row>
    <row r="539" spans="1:8" s="8" customFormat="1" ht="17.25" customHeight="1" hidden="1">
      <c r="A539" s="147"/>
      <c r="B539" s="634" t="s">
        <v>906</v>
      </c>
      <c r="C539" s="635"/>
      <c r="D539" s="635"/>
      <c r="E539" s="635"/>
      <c r="F539" s="636"/>
      <c r="G539" s="238">
        <f>G538</f>
        <v>0</v>
      </c>
      <c r="H539" s="163"/>
    </row>
    <row r="540" spans="1:8" s="8" customFormat="1" ht="48" customHeight="1" hidden="1">
      <c r="A540" s="147"/>
      <c r="B540" s="194" t="s">
        <v>316</v>
      </c>
      <c r="C540" s="557" t="s">
        <v>909</v>
      </c>
      <c r="D540" s="558"/>
      <c r="E540" s="193" t="s">
        <v>908</v>
      </c>
      <c r="F540" s="218">
        <f>G540/E540</f>
        <v>0</v>
      </c>
      <c r="G540" s="238">
        <v>0</v>
      </c>
      <c r="H540" s="163"/>
    </row>
    <row r="541" spans="2:9" s="131" customFormat="1" ht="16.5" customHeight="1" hidden="1">
      <c r="B541" s="634" t="s">
        <v>907</v>
      </c>
      <c r="C541" s="635"/>
      <c r="D541" s="635"/>
      <c r="E541" s="635"/>
      <c r="F541" s="636"/>
      <c r="G541" s="435">
        <f>G540</f>
        <v>0</v>
      </c>
      <c r="H541" s="316"/>
      <c r="I541" s="6"/>
    </row>
    <row r="542" spans="2:9" s="131" customFormat="1" ht="15" hidden="1">
      <c r="B542" s="574" t="s">
        <v>59</v>
      </c>
      <c r="C542" s="575"/>
      <c r="D542" s="575"/>
      <c r="E542" s="575"/>
      <c r="F542" s="576"/>
      <c r="G542" s="440">
        <f>G539+G541</f>
        <v>0</v>
      </c>
      <c r="I542" s="6"/>
    </row>
    <row r="543" spans="2:9" s="131" customFormat="1" ht="15" hidden="1">
      <c r="B543" s="574" t="s">
        <v>906</v>
      </c>
      <c r="C543" s="575"/>
      <c r="D543" s="575"/>
      <c r="E543" s="575"/>
      <c r="F543" s="576"/>
      <c r="G543" s="440">
        <f>G539</f>
        <v>0</v>
      </c>
      <c r="I543" s="6"/>
    </row>
    <row r="544" spans="2:9" s="131" customFormat="1" ht="15" hidden="1">
      <c r="B544" s="574" t="s">
        <v>907</v>
      </c>
      <c r="C544" s="575"/>
      <c r="D544" s="575"/>
      <c r="E544" s="575"/>
      <c r="F544" s="576"/>
      <c r="G544" s="440">
        <f>G541</f>
        <v>0</v>
      </c>
      <c r="I544" s="6"/>
    </row>
    <row r="545" spans="2:9" s="131" customFormat="1" ht="26.25" customHeight="1" hidden="1">
      <c r="B545" s="582" t="s">
        <v>279</v>
      </c>
      <c r="C545" s="582"/>
      <c r="D545" s="582"/>
      <c r="E545" s="582"/>
      <c r="F545" s="582"/>
      <c r="G545" s="582"/>
      <c r="I545" s="6"/>
    </row>
    <row r="546" spans="2:9" s="131" customFormat="1" ht="30.75" hidden="1">
      <c r="B546" s="50" t="s">
        <v>33</v>
      </c>
      <c r="C546" s="533" t="s">
        <v>40</v>
      </c>
      <c r="D546" s="535"/>
      <c r="E546" s="50" t="s">
        <v>54</v>
      </c>
      <c r="F546" s="50" t="s">
        <v>55</v>
      </c>
      <c r="G546" s="431" t="s">
        <v>47</v>
      </c>
      <c r="I546" s="6"/>
    </row>
    <row r="547" spans="2:9" s="131" customFormat="1" ht="15" hidden="1">
      <c r="B547" s="50">
        <v>1</v>
      </c>
      <c r="C547" s="533">
        <v>2</v>
      </c>
      <c r="D547" s="535"/>
      <c r="E547" s="50">
        <v>3</v>
      </c>
      <c r="F547" s="50">
        <v>4</v>
      </c>
      <c r="G547" s="431">
        <v>5</v>
      </c>
      <c r="I547" s="6"/>
    </row>
    <row r="548" spans="2:9" s="131" customFormat="1" ht="15.75" customHeight="1" hidden="1">
      <c r="B548" s="194" t="s">
        <v>316</v>
      </c>
      <c r="C548" s="557" t="s">
        <v>832</v>
      </c>
      <c r="D548" s="558"/>
      <c r="E548" s="432" t="s">
        <v>633</v>
      </c>
      <c r="F548" s="436">
        <f>G548/E548</f>
        <v>0</v>
      </c>
      <c r="G548" s="435">
        <v>0</v>
      </c>
      <c r="H548" s="316"/>
      <c r="I548" s="6"/>
    </row>
    <row r="549" spans="1:7" ht="15" hidden="1">
      <c r="A549" s="6"/>
      <c r="B549" s="50"/>
      <c r="C549" s="569"/>
      <c r="D549" s="570"/>
      <c r="E549" s="173"/>
      <c r="F549" s="179"/>
      <c r="G549" s="433"/>
    </row>
    <row r="550" spans="2:9" s="131" customFormat="1" ht="16.5" customHeight="1" hidden="1">
      <c r="B550" s="634" t="s">
        <v>817</v>
      </c>
      <c r="C550" s="635"/>
      <c r="D550" s="635"/>
      <c r="E550" s="635"/>
      <c r="F550" s="636"/>
      <c r="G550" s="435">
        <v>0</v>
      </c>
      <c r="H550" s="316"/>
      <c r="I550" s="6"/>
    </row>
    <row r="551" spans="1:7" ht="51.75" customHeight="1" hidden="1">
      <c r="A551" s="6"/>
      <c r="B551" s="333">
        <v>2</v>
      </c>
      <c r="C551" s="578" t="s">
        <v>871</v>
      </c>
      <c r="D551" s="579"/>
      <c r="E551" s="334">
        <v>100</v>
      </c>
      <c r="F551" s="335">
        <f aca="true" t="shared" si="2" ref="F551:F559">G551/E551</f>
        <v>0</v>
      </c>
      <c r="G551" s="433">
        <v>0</v>
      </c>
    </row>
    <row r="552" spans="1:7" ht="46.5" customHeight="1" hidden="1">
      <c r="A552" s="6"/>
      <c r="B552" s="333">
        <v>3</v>
      </c>
      <c r="C552" s="578" t="s">
        <v>872</v>
      </c>
      <c r="D552" s="579"/>
      <c r="E552" s="334">
        <v>30</v>
      </c>
      <c r="F552" s="335">
        <f t="shared" si="2"/>
        <v>0</v>
      </c>
      <c r="G552" s="433">
        <v>0</v>
      </c>
    </row>
    <row r="553" spans="1:7" ht="54.75" customHeight="1" hidden="1">
      <c r="A553" s="6"/>
      <c r="B553" s="333">
        <v>4</v>
      </c>
      <c r="C553" s="578" t="s">
        <v>873</v>
      </c>
      <c r="D553" s="579"/>
      <c r="E553" s="334">
        <v>20</v>
      </c>
      <c r="F553" s="335">
        <f t="shared" si="2"/>
        <v>0</v>
      </c>
      <c r="G553" s="433">
        <v>0</v>
      </c>
    </row>
    <row r="554" spans="1:7" ht="54" customHeight="1" hidden="1">
      <c r="A554" s="6"/>
      <c r="B554" s="333">
        <v>5</v>
      </c>
      <c r="C554" s="578" t="s">
        <v>874</v>
      </c>
      <c r="D554" s="579"/>
      <c r="E554" s="334">
        <v>10</v>
      </c>
      <c r="F554" s="335">
        <f t="shared" si="2"/>
        <v>0</v>
      </c>
      <c r="G554" s="433">
        <v>0</v>
      </c>
    </row>
    <row r="555" spans="1:7" ht="38.25" customHeight="1" hidden="1">
      <c r="A555" s="6"/>
      <c r="B555" s="333">
        <v>6</v>
      </c>
      <c r="C555" s="578" t="s">
        <v>875</v>
      </c>
      <c r="D555" s="579"/>
      <c r="E555" s="334">
        <v>40</v>
      </c>
      <c r="F555" s="335">
        <f t="shared" si="2"/>
        <v>0</v>
      </c>
      <c r="G555" s="433">
        <v>0</v>
      </c>
    </row>
    <row r="556" spans="1:7" ht="54.75" customHeight="1" hidden="1">
      <c r="A556" s="6"/>
      <c r="B556" s="333">
        <v>7</v>
      </c>
      <c r="C556" s="578" t="s">
        <v>876</v>
      </c>
      <c r="D556" s="579"/>
      <c r="E556" s="334">
        <v>100</v>
      </c>
      <c r="F556" s="335">
        <f t="shared" si="2"/>
        <v>0</v>
      </c>
      <c r="G556" s="433">
        <v>0</v>
      </c>
    </row>
    <row r="557" spans="1:7" ht="55.5" customHeight="1" hidden="1">
      <c r="A557" s="6"/>
      <c r="B557" s="333">
        <v>8</v>
      </c>
      <c r="C557" s="578" t="s">
        <v>877</v>
      </c>
      <c r="D557" s="579"/>
      <c r="E557" s="334">
        <v>40</v>
      </c>
      <c r="F557" s="335">
        <f t="shared" si="2"/>
        <v>0</v>
      </c>
      <c r="G557" s="433">
        <v>0</v>
      </c>
    </row>
    <row r="558" spans="1:7" ht="33.75" customHeight="1" hidden="1">
      <c r="A558" s="6"/>
      <c r="B558" s="333">
        <v>9</v>
      </c>
      <c r="C558" s="578" t="s">
        <v>878</v>
      </c>
      <c r="D558" s="579"/>
      <c r="E558" s="334">
        <v>100</v>
      </c>
      <c r="F558" s="335">
        <f t="shared" si="2"/>
        <v>0</v>
      </c>
      <c r="G558" s="433">
        <v>0</v>
      </c>
    </row>
    <row r="559" spans="1:7" ht="57.75" customHeight="1" hidden="1">
      <c r="A559" s="6"/>
      <c r="B559" s="333">
        <v>10</v>
      </c>
      <c r="C559" s="578" t="s">
        <v>879</v>
      </c>
      <c r="D559" s="579"/>
      <c r="E559" s="334">
        <v>50</v>
      </c>
      <c r="F559" s="335">
        <f t="shared" si="2"/>
        <v>0</v>
      </c>
      <c r="G559" s="433">
        <v>0</v>
      </c>
    </row>
    <row r="560" spans="2:9" s="131" customFormat="1" ht="16.5" customHeight="1" hidden="1">
      <c r="B560" s="634" t="s">
        <v>855</v>
      </c>
      <c r="C560" s="635"/>
      <c r="D560" s="635"/>
      <c r="E560" s="635"/>
      <c r="F560" s="636"/>
      <c r="G560" s="435">
        <f>G551+G552+G553+G554+G555+G556+G557+G558+G559</f>
        <v>0</v>
      </c>
      <c r="H560" s="316"/>
      <c r="I560" s="6"/>
    </row>
    <row r="561" spans="2:9" s="131" customFormat="1" ht="15" hidden="1">
      <c r="B561" s="574" t="s">
        <v>56</v>
      </c>
      <c r="C561" s="575"/>
      <c r="D561" s="575"/>
      <c r="E561" s="575"/>
      <c r="F561" s="576"/>
      <c r="G561" s="440">
        <f>G548+G560</f>
        <v>0</v>
      </c>
      <c r="I561" s="6"/>
    </row>
    <row r="562" spans="2:9" s="131" customFormat="1" ht="15" hidden="1">
      <c r="B562" s="574" t="s">
        <v>817</v>
      </c>
      <c r="C562" s="575"/>
      <c r="D562" s="575"/>
      <c r="E562" s="575"/>
      <c r="F562" s="576"/>
      <c r="G562" s="440">
        <f>G550</f>
        <v>0</v>
      </c>
      <c r="I562" s="6"/>
    </row>
    <row r="563" spans="2:9" s="131" customFormat="1" ht="15" hidden="1">
      <c r="B563" s="574" t="s">
        <v>855</v>
      </c>
      <c r="C563" s="575"/>
      <c r="D563" s="575"/>
      <c r="E563" s="575"/>
      <c r="F563" s="576"/>
      <c r="G563" s="440">
        <f>G560</f>
        <v>0</v>
      </c>
      <c r="I563" s="6"/>
    </row>
    <row r="564" spans="2:9" s="131" customFormat="1" ht="13.5" customHeight="1" hidden="1">
      <c r="B564" s="686" t="s">
        <v>281</v>
      </c>
      <c r="C564" s="686"/>
      <c r="D564" s="686"/>
      <c r="E564" s="686"/>
      <c r="F564" s="686"/>
      <c r="G564" s="686"/>
      <c r="I564" s="6"/>
    </row>
    <row r="565" spans="2:9" s="131" customFormat="1" ht="30.75" hidden="1">
      <c r="B565" s="333" t="s">
        <v>33</v>
      </c>
      <c r="C565" s="639" t="s">
        <v>40</v>
      </c>
      <c r="D565" s="640"/>
      <c r="E565" s="333" t="s">
        <v>54</v>
      </c>
      <c r="F565" s="333" t="s">
        <v>55</v>
      </c>
      <c r="G565" s="431" t="s">
        <v>47</v>
      </c>
      <c r="I565" s="6"/>
    </row>
    <row r="566" spans="2:9" s="131" customFormat="1" ht="45" customHeight="1" hidden="1">
      <c r="B566" s="463">
        <v>1</v>
      </c>
      <c r="C566" s="637" t="s">
        <v>885</v>
      </c>
      <c r="D566" s="638"/>
      <c r="E566" s="432" t="s">
        <v>867</v>
      </c>
      <c r="F566" s="436">
        <f>G566/E566</f>
        <v>0</v>
      </c>
      <c r="G566" s="435">
        <v>0</v>
      </c>
      <c r="H566" s="316"/>
      <c r="I566" s="6"/>
    </row>
    <row r="567" spans="1:7" ht="4.5" customHeight="1" hidden="1">
      <c r="A567" s="6"/>
      <c r="B567" s="333"/>
      <c r="C567" s="578"/>
      <c r="D567" s="579"/>
      <c r="E567" s="429"/>
      <c r="F567" s="429"/>
      <c r="G567" s="433"/>
    </row>
    <row r="568" spans="2:9" s="131" customFormat="1" ht="57" customHeight="1" hidden="1">
      <c r="B568" s="463">
        <v>2</v>
      </c>
      <c r="C568" s="637" t="s">
        <v>884</v>
      </c>
      <c r="D568" s="638"/>
      <c r="E568" s="432" t="s">
        <v>547</v>
      </c>
      <c r="F568" s="436">
        <f aca="true" t="shared" si="3" ref="F568:F573">G568/E568</f>
        <v>0</v>
      </c>
      <c r="G568" s="435">
        <v>0</v>
      </c>
      <c r="H568" s="316"/>
      <c r="I568" s="6"/>
    </row>
    <row r="569" spans="2:9" s="131" customFormat="1" ht="58.5" customHeight="1" hidden="1">
      <c r="B569" s="463">
        <v>3</v>
      </c>
      <c r="C569" s="637" t="s">
        <v>883</v>
      </c>
      <c r="D569" s="638"/>
      <c r="E569" s="432" t="s">
        <v>409</v>
      </c>
      <c r="F569" s="436">
        <f t="shared" si="3"/>
        <v>0</v>
      </c>
      <c r="G569" s="435">
        <v>0</v>
      </c>
      <c r="H569" s="316"/>
      <c r="I569" s="6"/>
    </row>
    <row r="570" spans="2:9" s="131" customFormat="1" ht="46.5" customHeight="1" hidden="1">
      <c r="B570" s="463">
        <v>4</v>
      </c>
      <c r="C570" s="637" t="s">
        <v>882</v>
      </c>
      <c r="D570" s="638"/>
      <c r="E570" s="432" t="s">
        <v>361</v>
      </c>
      <c r="F570" s="436">
        <f t="shared" si="3"/>
        <v>0</v>
      </c>
      <c r="G570" s="435">
        <v>0</v>
      </c>
      <c r="H570" s="316"/>
      <c r="I570" s="6"/>
    </row>
    <row r="571" spans="2:9" s="131" customFormat="1" ht="21" customHeight="1" hidden="1">
      <c r="B571" s="463">
        <v>5</v>
      </c>
      <c r="C571" s="637" t="s">
        <v>881</v>
      </c>
      <c r="D571" s="638"/>
      <c r="E571" s="432" t="s">
        <v>361</v>
      </c>
      <c r="F571" s="436">
        <f t="shared" si="3"/>
        <v>0</v>
      </c>
      <c r="G571" s="435">
        <v>0</v>
      </c>
      <c r="H571" s="316"/>
      <c r="I571" s="6"/>
    </row>
    <row r="572" spans="2:9" s="131" customFormat="1" ht="46.5" customHeight="1" hidden="1">
      <c r="B572" s="463">
        <v>6</v>
      </c>
      <c r="C572" s="637" t="s">
        <v>880</v>
      </c>
      <c r="D572" s="638"/>
      <c r="E572" s="432" t="s">
        <v>867</v>
      </c>
      <c r="F572" s="436">
        <f t="shared" si="3"/>
        <v>0</v>
      </c>
      <c r="G572" s="435">
        <v>0</v>
      </c>
      <c r="H572" s="316"/>
      <c r="I572" s="6"/>
    </row>
    <row r="573" spans="2:9" s="131" customFormat="1" ht="96.75" customHeight="1" hidden="1">
      <c r="B573" s="463">
        <v>7</v>
      </c>
      <c r="C573" s="637" t="s">
        <v>886</v>
      </c>
      <c r="D573" s="638"/>
      <c r="E573" s="432" t="s">
        <v>867</v>
      </c>
      <c r="F573" s="436">
        <f t="shared" si="3"/>
        <v>0</v>
      </c>
      <c r="G573" s="435">
        <v>0</v>
      </c>
      <c r="H573" s="316"/>
      <c r="I573" s="6"/>
    </row>
    <row r="574" spans="2:9" s="131" customFormat="1" ht="15" hidden="1">
      <c r="B574" s="641" t="s">
        <v>58</v>
      </c>
      <c r="C574" s="642"/>
      <c r="D574" s="642"/>
      <c r="E574" s="642"/>
      <c r="F574" s="643"/>
      <c r="G574" s="440">
        <f>G566+G568+G569+G570+G571+G572+G573</f>
        <v>0</v>
      </c>
      <c r="I574" s="6"/>
    </row>
    <row r="575" spans="2:8" ht="15" customHeight="1" hidden="1">
      <c r="B575" s="679" t="s">
        <v>855</v>
      </c>
      <c r="C575" s="680"/>
      <c r="D575" s="680"/>
      <c r="E575" s="680"/>
      <c r="F575" s="681"/>
      <c r="G575" s="350">
        <f>G574</f>
        <v>0</v>
      </c>
      <c r="H575" s="351"/>
    </row>
    <row r="576" spans="2:8" ht="14.25" customHeight="1">
      <c r="B576" s="428"/>
      <c r="C576" s="428"/>
      <c r="D576" s="428"/>
      <c r="E576" s="428"/>
      <c r="F576" s="428"/>
      <c r="G576" s="358"/>
      <c r="H576" s="351"/>
    </row>
    <row r="577" spans="2:8" ht="14.25" customHeight="1">
      <c r="B577" s="131"/>
      <c r="C577" s="131"/>
      <c r="D577" s="131"/>
      <c r="E577" s="131"/>
      <c r="F577" s="148"/>
      <c r="G577" s="148"/>
      <c r="H577" s="265" t="str">
        <f>H5</f>
        <v>22.12.2023</v>
      </c>
    </row>
    <row r="578" spans="2:8" ht="15.75" customHeight="1">
      <c r="B578" s="577" t="s">
        <v>712</v>
      </c>
      <c r="C578" s="577"/>
      <c r="D578" s="577"/>
      <c r="E578" s="577"/>
      <c r="F578" s="577"/>
      <c r="G578" s="577"/>
      <c r="H578" s="577"/>
    </row>
    <row r="579" spans="2:8" ht="15.75" customHeight="1">
      <c r="B579" s="577" t="s">
        <v>13</v>
      </c>
      <c r="C579" s="577"/>
      <c r="D579" s="577"/>
      <c r="E579" s="577"/>
      <c r="F579" s="577"/>
      <c r="G579" s="577"/>
      <c r="H579" s="577"/>
    </row>
    <row r="580" spans="2:8" ht="15.75" customHeight="1">
      <c r="B580" s="591" t="s">
        <v>807</v>
      </c>
      <c r="C580" s="591"/>
      <c r="D580" s="591"/>
      <c r="E580" s="591"/>
      <c r="F580" s="591"/>
      <c r="G580" s="591"/>
      <c r="H580" s="591"/>
    </row>
    <row r="581" spans="2:8" ht="16.5" customHeight="1">
      <c r="B581" s="594" t="s">
        <v>441</v>
      </c>
      <c r="C581" s="594"/>
      <c r="D581" s="594"/>
      <c r="E581" s="594"/>
      <c r="F581" s="594"/>
      <c r="G581" s="594"/>
      <c r="H581" s="594"/>
    </row>
    <row r="582" spans="2:8" ht="15.75" customHeight="1">
      <c r="B582" s="577" t="s">
        <v>259</v>
      </c>
      <c r="C582" s="577"/>
      <c r="D582" s="577"/>
      <c r="E582" s="577"/>
      <c r="F582" s="577"/>
      <c r="G582" s="577"/>
      <c r="H582" s="577"/>
    </row>
    <row r="583" spans="2:8" ht="15.75" customHeight="1">
      <c r="B583" s="595" t="s">
        <v>219</v>
      </c>
      <c r="C583" s="595"/>
      <c r="D583" s="595"/>
      <c r="E583" s="595"/>
      <c r="F583" s="595"/>
      <c r="G583" s="595"/>
      <c r="H583" s="595"/>
    </row>
    <row r="584" spans="2:8" ht="15.75" customHeight="1">
      <c r="B584" s="577" t="s">
        <v>439</v>
      </c>
      <c r="C584" s="577"/>
      <c r="D584" s="577"/>
      <c r="E584" s="577"/>
      <c r="F584" s="577"/>
      <c r="G584" s="577"/>
      <c r="H584" s="577"/>
    </row>
    <row r="585" spans="2:8" ht="15.75" customHeight="1">
      <c r="B585" s="50" t="s">
        <v>33</v>
      </c>
      <c r="C585" s="533" t="s">
        <v>521</v>
      </c>
      <c r="D585" s="534"/>
      <c r="E585" s="534"/>
      <c r="F585" s="535"/>
      <c r="G585" s="50" t="s">
        <v>47</v>
      </c>
      <c r="H585" s="306"/>
    </row>
    <row r="586" spans="2:8" ht="15">
      <c r="B586" s="152">
        <v>1</v>
      </c>
      <c r="C586" s="592">
        <v>2</v>
      </c>
      <c r="D586" s="669"/>
      <c r="E586" s="669"/>
      <c r="F586" s="593"/>
      <c r="G586" s="152">
        <v>3</v>
      </c>
      <c r="H586" s="306"/>
    </row>
    <row r="587" spans="2:8" ht="30" customHeight="1">
      <c r="B587" s="311" t="s">
        <v>207</v>
      </c>
      <c r="C587" s="670" t="s">
        <v>522</v>
      </c>
      <c r="D587" s="671"/>
      <c r="E587" s="671"/>
      <c r="F587" s="672"/>
      <c r="G587" s="309">
        <v>0</v>
      </c>
      <c r="H587" s="307"/>
    </row>
    <row r="588" spans="2:8" ht="15.75" customHeight="1">
      <c r="B588" s="648" t="s">
        <v>233</v>
      </c>
      <c r="C588" s="649"/>
      <c r="D588" s="649"/>
      <c r="E588" s="649"/>
      <c r="F588" s="650"/>
      <c r="G588" s="310">
        <f>G587</f>
        <v>0</v>
      </c>
      <c r="H588"/>
    </row>
    <row r="589" spans="2:8" ht="15.75" customHeight="1">
      <c r="B589" s="648" t="s">
        <v>841</v>
      </c>
      <c r="C589" s="649"/>
      <c r="D589" s="649"/>
      <c r="E589" s="649"/>
      <c r="F589" s="650"/>
      <c r="G589" s="310">
        <f>G588</f>
        <v>0</v>
      </c>
      <c r="H589"/>
    </row>
    <row r="590" spans="2:8" ht="21.75" customHeight="1">
      <c r="B590" s="674" t="s">
        <v>837</v>
      </c>
      <c r="C590" s="674"/>
      <c r="D590" s="674"/>
      <c r="E590" s="674"/>
      <c r="F590" s="674"/>
      <c r="G590" s="674"/>
      <c r="H590" s="340"/>
    </row>
    <row r="591" spans="2:8" ht="39.75" customHeight="1">
      <c r="B591" s="673" t="s">
        <v>559</v>
      </c>
      <c r="C591" s="673"/>
      <c r="D591" s="673"/>
      <c r="E591" s="673"/>
      <c r="F591" s="673"/>
      <c r="G591" s="673"/>
      <c r="H591" s="673"/>
    </row>
    <row r="592" spans="2:8" ht="62.25">
      <c r="B592" s="50" t="s">
        <v>33</v>
      </c>
      <c r="C592" s="533" t="s">
        <v>21</v>
      </c>
      <c r="D592" s="534"/>
      <c r="E592" s="534"/>
      <c r="F592" s="535"/>
      <c r="G592" s="50" t="s">
        <v>22</v>
      </c>
      <c r="H592" s="50" t="s">
        <v>23</v>
      </c>
    </row>
    <row r="593" spans="2:8" ht="15">
      <c r="B593" s="118">
        <v>1</v>
      </c>
      <c r="C593" s="605">
        <v>2</v>
      </c>
      <c r="D593" s="606"/>
      <c r="E593" s="606"/>
      <c r="F593" s="607"/>
      <c r="G593" s="118">
        <v>3</v>
      </c>
      <c r="H593" s="118">
        <v>4</v>
      </c>
    </row>
    <row r="594" spans="2:8" ht="21.75" customHeight="1">
      <c r="B594" s="118">
        <v>1</v>
      </c>
      <c r="C594" s="609" t="s">
        <v>34</v>
      </c>
      <c r="D594" s="610"/>
      <c r="E594" s="610"/>
      <c r="F594" s="611"/>
      <c r="G594" s="118" t="s">
        <v>35</v>
      </c>
      <c r="H594" s="159">
        <f>SUM(H595:H597)</f>
        <v>0</v>
      </c>
    </row>
    <row r="595" spans="2:8" ht="15">
      <c r="B595" s="118" t="s">
        <v>24</v>
      </c>
      <c r="C595" s="609" t="s">
        <v>36</v>
      </c>
      <c r="D595" s="610"/>
      <c r="E595" s="610"/>
      <c r="F595" s="611"/>
      <c r="G595" s="159">
        <f>G589</f>
        <v>0</v>
      </c>
      <c r="H595" s="159">
        <f>ROUNDDOWN(G595*22%,0)</f>
        <v>0</v>
      </c>
    </row>
    <row r="596" spans="2:8" ht="15.75" customHeight="1" hidden="1">
      <c r="B596" s="160" t="s">
        <v>25</v>
      </c>
      <c r="C596" s="609" t="s">
        <v>37</v>
      </c>
      <c r="D596" s="610"/>
      <c r="E596" s="611"/>
      <c r="F596" s="312"/>
      <c r="G596" s="159"/>
      <c r="H596" s="159"/>
    </row>
    <row r="597" spans="2:8" ht="50.25" customHeight="1" hidden="1">
      <c r="B597" s="118" t="s">
        <v>26</v>
      </c>
      <c r="C597" s="609" t="s">
        <v>77</v>
      </c>
      <c r="D597" s="610"/>
      <c r="E597" s="611"/>
      <c r="F597" s="312"/>
      <c r="G597" s="159"/>
      <c r="H597" s="159"/>
    </row>
    <row r="598" spans="2:8" ht="33" customHeight="1">
      <c r="B598" s="118">
        <v>2</v>
      </c>
      <c r="C598" s="609" t="s">
        <v>27</v>
      </c>
      <c r="D598" s="610"/>
      <c r="E598" s="610"/>
      <c r="F598" s="611"/>
      <c r="G598" s="118" t="s">
        <v>35</v>
      </c>
      <c r="H598" s="159">
        <f>SUM(H599:H603)</f>
        <v>0</v>
      </c>
    </row>
    <row r="599" spans="2:8" ht="33" customHeight="1">
      <c r="B599" s="118" t="s">
        <v>28</v>
      </c>
      <c r="C599" s="609" t="s">
        <v>78</v>
      </c>
      <c r="D599" s="610"/>
      <c r="E599" s="610"/>
      <c r="F599" s="611"/>
      <c r="G599" s="159">
        <f>G595</f>
        <v>0</v>
      </c>
      <c r="H599" s="159">
        <f>ROUNDUP(G599*2.9%,0)</f>
        <v>0</v>
      </c>
    </row>
    <row r="600" spans="2:8" ht="33" customHeight="1" hidden="1">
      <c r="B600" s="118" t="s">
        <v>29</v>
      </c>
      <c r="C600" s="609" t="s">
        <v>79</v>
      </c>
      <c r="D600" s="610"/>
      <c r="E600" s="611"/>
      <c r="F600" s="312"/>
      <c r="G600" s="159"/>
      <c r="H600" s="159"/>
    </row>
    <row r="601" spans="2:8" ht="35.25" customHeight="1">
      <c r="B601" s="118" t="s">
        <v>29</v>
      </c>
      <c r="C601" s="609" t="s">
        <v>76</v>
      </c>
      <c r="D601" s="610"/>
      <c r="E601" s="610"/>
      <c r="F601" s="611"/>
      <c r="G601" s="159">
        <f>G599</f>
        <v>0</v>
      </c>
      <c r="H601" s="159">
        <f>ROUNDUP(G601*0.2%,0)</f>
        <v>0</v>
      </c>
    </row>
    <row r="602" spans="2:8" ht="46.5" customHeight="1" hidden="1">
      <c r="B602" s="118" t="s">
        <v>31</v>
      </c>
      <c r="C602" s="609" t="s">
        <v>80</v>
      </c>
      <c r="D602" s="610"/>
      <c r="E602" s="611"/>
      <c r="F602" s="312"/>
      <c r="G602" s="159"/>
      <c r="H602" s="159"/>
    </row>
    <row r="603" spans="2:8" ht="45" customHeight="1" hidden="1">
      <c r="B603" s="118" t="s">
        <v>32</v>
      </c>
      <c r="C603" s="609" t="s">
        <v>80</v>
      </c>
      <c r="D603" s="610"/>
      <c r="E603" s="611"/>
      <c r="F603" s="312"/>
      <c r="G603" s="159"/>
      <c r="H603" s="159"/>
    </row>
    <row r="604" spans="2:8" ht="38.25" customHeight="1">
      <c r="B604" s="118" t="s">
        <v>38</v>
      </c>
      <c r="C604" s="609" t="s">
        <v>39</v>
      </c>
      <c r="D604" s="610"/>
      <c r="E604" s="610"/>
      <c r="F604" s="611"/>
      <c r="G604" s="159">
        <f>G601</f>
        <v>0</v>
      </c>
      <c r="H604" s="159">
        <f>ROUNDDOWN(G604*5.1%,0)</f>
        <v>0</v>
      </c>
    </row>
    <row r="605" spans="2:8" ht="15">
      <c r="B605" s="574" t="s">
        <v>72</v>
      </c>
      <c r="C605" s="575"/>
      <c r="D605" s="575"/>
      <c r="E605" s="575"/>
      <c r="F605" s="575"/>
      <c r="G605" s="576"/>
      <c r="H605" s="161">
        <f>H594+H598+H604</f>
        <v>0</v>
      </c>
    </row>
    <row r="606" spans="2:8" ht="15">
      <c r="B606" s="574" t="s">
        <v>839</v>
      </c>
      <c r="C606" s="575"/>
      <c r="D606" s="575"/>
      <c r="E606" s="575"/>
      <c r="F606" s="575"/>
      <c r="G606" s="576"/>
      <c r="H606" s="161">
        <f>H605</f>
        <v>0</v>
      </c>
    </row>
    <row r="607" spans="2:8" ht="34.5" customHeight="1">
      <c r="B607" s="653" t="s">
        <v>264</v>
      </c>
      <c r="C607" s="653"/>
      <c r="D607" s="653"/>
      <c r="E607" s="653"/>
      <c r="F607" s="653"/>
      <c r="G607" s="653"/>
      <c r="H607"/>
    </row>
    <row r="608" spans="2:8" ht="15" customHeight="1">
      <c r="B608" s="668" t="s">
        <v>551</v>
      </c>
      <c r="C608" s="668"/>
      <c r="D608" s="668"/>
      <c r="E608" s="668"/>
      <c r="F608" s="668"/>
      <c r="G608" s="668"/>
      <c r="H608" s="668"/>
    </row>
    <row r="609" spans="2:8" ht="3" customHeight="1">
      <c r="B609" s="577" t="s">
        <v>439</v>
      </c>
      <c r="C609" s="577"/>
      <c r="D609" s="577"/>
      <c r="E609" s="577"/>
      <c r="F609" s="577"/>
      <c r="G609" s="577"/>
      <c r="H609" s="577"/>
    </row>
    <row r="610" ht="10.5" customHeight="1" hidden="1"/>
    <row r="611" spans="2:8" ht="15.75" customHeight="1" hidden="1">
      <c r="B611" s="50" t="s">
        <v>33</v>
      </c>
      <c r="C611" s="533" t="s">
        <v>521</v>
      </c>
      <c r="D611" s="534"/>
      <c r="E611" s="534"/>
      <c r="F611" s="535"/>
      <c r="G611" s="50" t="s">
        <v>47</v>
      </c>
      <c r="H611" s="306"/>
    </row>
    <row r="612" spans="2:8" ht="15.75" customHeight="1" hidden="1">
      <c r="B612" s="152">
        <v>1</v>
      </c>
      <c r="C612" s="592">
        <v>2</v>
      </c>
      <c r="D612" s="669"/>
      <c r="E612" s="669"/>
      <c r="F612" s="593"/>
      <c r="G612" s="152">
        <v>3</v>
      </c>
      <c r="H612" s="306"/>
    </row>
    <row r="613" spans="2:8" ht="30" customHeight="1" hidden="1">
      <c r="B613" s="311" t="s">
        <v>207</v>
      </c>
      <c r="C613" s="670" t="s">
        <v>522</v>
      </c>
      <c r="D613" s="671"/>
      <c r="E613" s="671"/>
      <c r="F613" s="672"/>
      <c r="G613" s="309">
        <v>0</v>
      </c>
      <c r="H613" s="307"/>
    </row>
    <row r="614" spans="2:8" ht="15.75" customHeight="1" hidden="1">
      <c r="B614" s="648" t="s">
        <v>233</v>
      </c>
      <c r="C614" s="649"/>
      <c r="D614" s="649"/>
      <c r="E614" s="649"/>
      <c r="F614" s="650"/>
      <c r="G614" s="310">
        <f>G613</f>
        <v>0</v>
      </c>
      <c r="H614"/>
    </row>
    <row r="615" spans="2:8" ht="15.75" customHeight="1" hidden="1">
      <c r="B615" s="648" t="s">
        <v>524</v>
      </c>
      <c r="C615" s="649"/>
      <c r="D615" s="649"/>
      <c r="E615" s="649"/>
      <c r="F615" s="650"/>
      <c r="G615" s="310">
        <f>G614</f>
        <v>0</v>
      </c>
      <c r="H615"/>
    </row>
    <row r="616" spans="2:8" ht="6.75" customHeight="1" hidden="1">
      <c r="B616" s="305"/>
      <c r="C616" s="305"/>
      <c r="D616" s="305"/>
      <c r="E616" s="305"/>
      <c r="F616" s="305"/>
      <c r="G616" s="308"/>
      <c r="H616"/>
    </row>
    <row r="617" spans="2:8" ht="63" customHeight="1" hidden="1">
      <c r="B617" s="577" t="s">
        <v>262</v>
      </c>
      <c r="C617" s="577"/>
      <c r="D617" s="577"/>
      <c r="E617" s="577"/>
      <c r="F617" s="577"/>
      <c r="G617" s="577"/>
      <c r="H617"/>
    </row>
    <row r="618" ht="6.75" customHeight="1" hidden="1"/>
    <row r="619" spans="2:8" ht="9" customHeight="1" hidden="1">
      <c r="B619" s="50" t="s">
        <v>33</v>
      </c>
      <c r="C619" s="533" t="s">
        <v>21</v>
      </c>
      <c r="D619" s="534"/>
      <c r="E619" s="534"/>
      <c r="F619" s="535"/>
      <c r="G619" s="50" t="s">
        <v>22</v>
      </c>
      <c r="H619" s="50" t="s">
        <v>23</v>
      </c>
    </row>
    <row r="620" spans="2:8" ht="15.75" customHeight="1" hidden="1">
      <c r="B620" s="118">
        <v>1</v>
      </c>
      <c r="C620" s="605">
        <v>2</v>
      </c>
      <c r="D620" s="606"/>
      <c r="E620" s="606"/>
      <c r="F620" s="607"/>
      <c r="G620" s="118">
        <v>3</v>
      </c>
      <c r="H620" s="118">
        <v>4</v>
      </c>
    </row>
    <row r="621" spans="2:8" ht="22.5" customHeight="1" hidden="1">
      <c r="B621" s="118">
        <v>1</v>
      </c>
      <c r="C621" s="609" t="s">
        <v>34</v>
      </c>
      <c r="D621" s="610"/>
      <c r="E621" s="610"/>
      <c r="F621" s="611"/>
      <c r="G621" s="118" t="s">
        <v>35</v>
      </c>
      <c r="H621" s="159">
        <f>SUM(H622:H624)</f>
        <v>0</v>
      </c>
    </row>
    <row r="622" spans="2:8" ht="15.75" customHeight="1" hidden="1">
      <c r="B622" s="118" t="s">
        <v>24</v>
      </c>
      <c r="C622" s="609" t="s">
        <v>36</v>
      </c>
      <c r="D622" s="610"/>
      <c r="E622" s="610"/>
      <c r="F622" s="611"/>
      <c r="G622" s="159">
        <f>G615</f>
        <v>0</v>
      </c>
      <c r="H622" s="159">
        <f>ROUNDDOWN(G622*22%,0)</f>
        <v>0</v>
      </c>
    </row>
    <row r="623" spans="2:8" ht="15.75" customHeight="1" hidden="1">
      <c r="B623" s="160" t="s">
        <v>25</v>
      </c>
      <c r="C623" s="609" t="s">
        <v>37</v>
      </c>
      <c r="D623" s="610"/>
      <c r="E623" s="611"/>
      <c r="F623" s="312"/>
      <c r="G623" s="159"/>
      <c r="H623" s="159"/>
    </row>
    <row r="624" spans="2:8" ht="50.25" customHeight="1" hidden="1">
      <c r="B624" s="118" t="s">
        <v>26</v>
      </c>
      <c r="C624" s="609" t="s">
        <v>77</v>
      </c>
      <c r="D624" s="610"/>
      <c r="E624" s="611"/>
      <c r="F624" s="312"/>
      <c r="G624" s="159"/>
      <c r="H624" s="159"/>
    </row>
    <row r="625" spans="2:8" ht="33" customHeight="1" hidden="1">
      <c r="B625" s="118">
        <v>2</v>
      </c>
      <c r="C625" s="609" t="s">
        <v>27</v>
      </c>
      <c r="D625" s="610"/>
      <c r="E625" s="610"/>
      <c r="F625" s="611"/>
      <c r="G625" s="118" t="s">
        <v>35</v>
      </c>
      <c r="H625" s="159">
        <f>SUM(H626:H630)</f>
        <v>0</v>
      </c>
    </row>
    <row r="626" spans="2:8" ht="29.25" customHeight="1" hidden="1">
      <c r="B626" s="118" t="s">
        <v>28</v>
      </c>
      <c r="C626" s="609" t="s">
        <v>78</v>
      </c>
      <c r="D626" s="610"/>
      <c r="E626" s="610"/>
      <c r="F626" s="611"/>
      <c r="G626" s="159">
        <f>G622</f>
        <v>0</v>
      </c>
      <c r="H626" s="159">
        <f>ROUNDUP(G626*2.9%,0)</f>
        <v>0</v>
      </c>
    </row>
    <row r="627" spans="2:8" ht="33" customHeight="1" hidden="1">
      <c r="B627" s="118" t="s">
        <v>29</v>
      </c>
      <c r="C627" s="609" t="s">
        <v>79</v>
      </c>
      <c r="D627" s="610"/>
      <c r="E627" s="611"/>
      <c r="F627" s="312"/>
      <c r="G627" s="159"/>
      <c r="H627" s="159"/>
    </row>
    <row r="628" spans="2:8" ht="21" customHeight="1" hidden="1">
      <c r="B628" s="118" t="s">
        <v>29</v>
      </c>
      <c r="C628" s="609" t="s">
        <v>76</v>
      </c>
      <c r="D628" s="610"/>
      <c r="E628" s="610"/>
      <c r="F628" s="611"/>
      <c r="G628" s="159">
        <f>G626</f>
        <v>0</v>
      </c>
      <c r="H628" s="159">
        <f>ROUNDUP(G628*0.2%,0)</f>
        <v>0</v>
      </c>
    </row>
    <row r="629" spans="2:8" ht="46.5" customHeight="1" hidden="1">
      <c r="B629" s="118" t="s">
        <v>31</v>
      </c>
      <c r="C629" s="609" t="s">
        <v>80</v>
      </c>
      <c r="D629" s="610"/>
      <c r="E629" s="611"/>
      <c r="F629" s="312"/>
      <c r="G629" s="159"/>
      <c r="H629" s="159"/>
    </row>
    <row r="630" spans="2:8" ht="45" customHeight="1" hidden="1">
      <c r="B630" s="118" t="s">
        <v>32</v>
      </c>
      <c r="C630" s="609" t="s">
        <v>80</v>
      </c>
      <c r="D630" s="610"/>
      <c r="E630" s="611"/>
      <c r="F630" s="312"/>
      <c r="G630" s="159"/>
      <c r="H630" s="159"/>
    </row>
    <row r="631" spans="2:8" ht="34.5" customHeight="1" hidden="1">
      <c r="B631" s="118" t="s">
        <v>38</v>
      </c>
      <c r="C631" s="609" t="s">
        <v>39</v>
      </c>
      <c r="D631" s="610"/>
      <c r="E631" s="610"/>
      <c r="F631" s="611"/>
      <c r="G631" s="159">
        <f>G628</f>
        <v>0</v>
      </c>
      <c r="H631" s="159">
        <f>ROUNDDOWN(G631*5.1%,0)</f>
        <v>0</v>
      </c>
    </row>
    <row r="632" spans="2:8" ht="15.75" customHeight="1" hidden="1">
      <c r="B632" s="574" t="s">
        <v>72</v>
      </c>
      <c r="C632" s="575"/>
      <c r="D632" s="575"/>
      <c r="E632" s="575"/>
      <c r="F632" s="575"/>
      <c r="G632" s="576"/>
      <c r="H632" s="161">
        <f>H621+H625+H631</f>
        <v>0</v>
      </c>
    </row>
    <row r="633" spans="2:8" ht="15.75" customHeight="1" hidden="1">
      <c r="B633" s="574" t="s">
        <v>523</v>
      </c>
      <c r="C633" s="575"/>
      <c r="D633" s="575"/>
      <c r="E633" s="575"/>
      <c r="F633" s="575"/>
      <c r="G633" s="576"/>
      <c r="H633" s="161">
        <f>H632</f>
        <v>0</v>
      </c>
    </row>
    <row r="634" spans="2:8" ht="7.5" customHeight="1" hidden="1">
      <c r="B634" s="150"/>
      <c r="C634" s="150"/>
      <c r="D634" s="150"/>
      <c r="E634" s="150"/>
      <c r="F634" s="150"/>
      <c r="G634" s="150"/>
      <c r="H634" s="150"/>
    </row>
    <row r="635" spans="2:8" ht="15.75" customHeight="1" hidden="1">
      <c r="B635" s="577" t="s">
        <v>259</v>
      </c>
      <c r="C635" s="577"/>
      <c r="D635" s="577"/>
      <c r="E635" s="577"/>
      <c r="F635" s="577"/>
      <c r="G635" s="577"/>
      <c r="H635" s="577"/>
    </row>
    <row r="636" ht="15.75" customHeight="1" hidden="1"/>
    <row r="637" spans="2:8" ht="15.75" customHeight="1" hidden="1">
      <c r="B637" s="595" t="s">
        <v>219</v>
      </c>
      <c r="C637" s="595"/>
      <c r="D637" s="595"/>
      <c r="E637" s="595"/>
      <c r="F637" s="595"/>
      <c r="G637" s="595"/>
      <c r="H637" s="595"/>
    </row>
    <row r="638" spans="2:8" ht="15.75" customHeight="1" hidden="1">
      <c r="B638" s="577" t="s">
        <v>261</v>
      </c>
      <c r="C638" s="577"/>
      <c r="D638" s="577"/>
      <c r="E638" s="577"/>
      <c r="F638" s="577"/>
      <c r="G638" s="577"/>
      <c r="H638" s="577"/>
    </row>
    <row r="639" ht="15.75" customHeight="1" hidden="1"/>
    <row r="640" spans="2:8" ht="48" customHeight="1" hidden="1">
      <c r="B640" s="592" t="s">
        <v>14</v>
      </c>
      <c r="C640" s="593"/>
      <c r="D640" s="592" t="s">
        <v>19</v>
      </c>
      <c r="E640" s="593"/>
      <c r="F640" s="592" t="s">
        <v>20</v>
      </c>
      <c r="G640" s="593"/>
      <c r="H640" s="596" t="s">
        <v>15</v>
      </c>
    </row>
    <row r="641" spans="2:8" ht="15.75" customHeight="1" hidden="1">
      <c r="B641" s="152" t="s">
        <v>16</v>
      </c>
      <c r="C641" s="152" t="s">
        <v>17</v>
      </c>
      <c r="D641" s="152" t="s">
        <v>16</v>
      </c>
      <c r="E641" s="152" t="s">
        <v>17</v>
      </c>
      <c r="F641" s="152" t="s">
        <v>16</v>
      </c>
      <c r="G641" s="152" t="s">
        <v>17</v>
      </c>
      <c r="H641" s="597"/>
    </row>
    <row r="642" spans="2:8" ht="15.75" customHeight="1" hidden="1">
      <c r="B642" s="152">
        <v>1</v>
      </c>
      <c r="C642" s="152">
        <v>2</v>
      </c>
      <c r="D642" s="152">
        <v>3</v>
      </c>
      <c r="E642" s="152">
        <v>4</v>
      </c>
      <c r="F642" s="152">
        <v>5</v>
      </c>
      <c r="G642" s="152">
        <v>6</v>
      </c>
      <c r="H642" s="153">
        <v>7</v>
      </c>
    </row>
    <row r="643" spans="2:8" ht="17.25" customHeight="1" hidden="1">
      <c r="B643" s="154"/>
      <c r="C643" s="154"/>
      <c r="D643" s="155"/>
      <c r="E643" s="155"/>
      <c r="F643" s="155"/>
      <c r="G643" s="155"/>
      <c r="H643" s="156"/>
    </row>
    <row r="644" spans="2:8" ht="15.75" customHeight="1" hidden="1">
      <c r="B644" s="598" t="s">
        <v>233</v>
      </c>
      <c r="C644" s="599"/>
      <c r="D644" s="599"/>
      <c r="E644" s="599"/>
      <c r="F644" s="599"/>
      <c r="G644" s="600"/>
      <c r="H644" s="157">
        <f>H643</f>
        <v>0</v>
      </c>
    </row>
    <row r="645" spans="2:8" ht="15.75" customHeight="1" hidden="1">
      <c r="B645"/>
      <c r="C645"/>
      <c r="D645"/>
      <c r="E645"/>
      <c r="F645"/>
      <c r="G645"/>
      <c r="H645"/>
    </row>
    <row r="646" spans="1:8" s="8" customFormat="1" ht="18" customHeight="1" hidden="1">
      <c r="A646" s="147"/>
      <c r="B646" s="582" t="s">
        <v>260</v>
      </c>
      <c r="C646" s="582"/>
      <c r="D646" s="582"/>
      <c r="E646" s="582"/>
      <c r="F646" s="582"/>
      <c r="G646" s="582"/>
      <c r="H646"/>
    </row>
    <row r="647" spans="1:8" s="8" customFormat="1" ht="15.75" customHeight="1" hidden="1">
      <c r="A647" s="147"/>
      <c r="B647"/>
      <c r="C647"/>
      <c r="D647"/>
      <c r="E647"/>
      <c r="F647"/>
      <c r="G647"/>
      <c r="H647"/>
    </row>
    <row r="648" spans="1:8" s="8" customFormat="1" ht="31.5" customHeight="1" hidden="1">
      <c r="A648" s="147"/>
      <c r="B648" s="50" t="s">
        <v>33</v>
      </c>
      <c r="C648" s="533" t="s">
        <v>40</v>
      </c>
      <c r="D648" s="535"/>
      <c r="E648" s="50" t="s">
        <v>45</v>
      </c>
      <c r="F648" s="50" t="s">
        <v>46</v>
      </c>
      <c r="G648" s="50" t="s">
        <v>47</v>
      </c>
      <c r="H648"/>
    </row>
    <row r="649" spans="1:8" s="8" customFormat="1" ht="15.75" customHeight="1" hidden="1">
      <c r="A649" s="147"/>
      <c r="B649" s="50">
        <v>1</v>
      </c>
      <c r="C649" s="533">
        <v>2</v>
      </c>
      <c r="D649" s="535"/>
      <c r="E649" s="50">
        <v>2</v>
      </c>
      <c r="F649" s="50">
        <v>4</v>
      </c>
      <c r="G649" s="50">
        <v>5</v>
      </c>
      <c r="H649"/>
    </row>
    <row r="650" spans="1:8" s="8" customFormat="1" ht="15.75" customHeight="1" hidden="1">
      <c r="A650" s="147"/>
      <c r="B650" s="50"/>
      <c r="C650" s="533"/>
      <c r="D650" s="535"/>
      <c r="E650" s="50"/>
      <c r="F650" s="50"/>
      <c r="G650" s="50"/>
      <c r="H650"/>
    </row>
    <row r="651" spans="1:8" s="8" customFormat="1" ht="17.25" customHeight="1" hidden="1">
      <c r="A651" s="147"/>
      <c r="B651" s="50"/>
      <c r="C651" s="609"/>
      <c r="D651" s="611"/>
      <c r="E651" s="50"/>
      <c r="F651"/>
      <c r="G651" s="123"/>
      <c r="H651"/>
    </row>
    <row r="652" spans="1:8" s="8" customFormat="1" ht="15.75" customHeight="1" hidden="1">
      <c r="A652" s="147"/>
      <c r="B652" s="585" t="s">
        <v>222</v>
      </c>
      <c r="C652" s="586"/>
      <c r="D652" s="587"/>
      <c r="E652" s="50" t="s">
        <v>35</v>
      </c>
      <c r="F652" t="s">
        <v>35</v>
      </c>
      <c r="G652" s="122">
        <f>SUM(G651:G651)</f>
        <v>0</v>
      </c>
      <c r="H652"/>
    </row>
    <row r="653" spans="2:8" ht="15.75" customHeight="1" hidden="1">
      <c r="B653"/>
      <c r="C653"/>
      <c r="D653"/>
      <c r="E653"/>
      <c r="F653"/>
      <c r="G653"/>
      <c r="H653"/>
    </row>
    <row r="654" spans="2:8" ht="63" customHeight="1" hidden="1">
      <c r="B654" s="577" t="s">
        <v>262</v>
      </c>
      <c r="C654" s="577"/>
      <c r="D654" s="577"/>
      <c r="E654" s="577"/>
      <c r="F654" s="577"/>
      <c r="G654" s="577"/>
      <c r="H654"/>
    </row>
    <row r="655" ht="15.75" customHeight="1" hidden="1"/>
    <row r="656" spans="2:7" ht="63" customHeight="1" hidden="1">
      <c r="B656" s="50" t="s">
        <v>33</v>
      </c>
      <c r="C656" s="533" t="s">
        <v>21</v>
      </c>
      <c r="D656" s="534"/>
      <c r="E656" s="535"/>
      <c r="F656" s="50" t="s">
        <v>22</v>
      </c>
      <c r="G656" s="50" t="s">
        <v>23</v>
      </c>
    </row>
    <row r="657" spans="2:7" ht="15.75" customHeight="1" hidden="1">
      <c r="B657" s="118">
        <v>1</v>
      </c>
      <c r="C657" s="605">
        <v>2</v>
      </c>
      <c r="D657" s="606"/>
      <c r="E657" s="607"/>
      <c r="F657" s="118">
        <v>3</v>
      </c>
      <c r="G657" s="118">
        <v>4</v>
      </c>
    </row>
    <row r="658" spans="2:7" ht="32.25" customHeight="1" hidden="1">
      <c r="B658" s="118">
        <v>1</v>
      </c>
      <c r="C658" s="609" t="s">
        <v>34</v>
      </c>
      <c r="D658" s="610"/>
      <c r="E658" s="611"/>
      <c r="F658" s="118" t="s">
        <v>35</v>
      </c>
      <c r="G658" s="159">
        <f>SUM(G659:G661)</f>
        <v>0</v>
      </c>
    </row>
    <row r="659" spans="2:7" ht="15.75" customHeight="1" hidden="1">
      <c r="B659" s="118" t="s">
        <v>24</v>
      </c>
      <c r="C659" s="609" t="s">
        <v>36</v>
      </c>
      <c r="D659" s="610"/>
      <c r="E659" s="611"/>
      <c r="F659" s="159">
        <f>H643</f>
        <v>0</v>
      </c>
      <c r="G659" s="159">
        <f>F659*22%</f>
        <v>0</v>
      </c>
    </row>
    <row r="660" spans="2:7" ht="15.75" customHeight="1" hidden="1">
      <c r="B660" s="160" t="s">
        <v>25</v>
      </c>
      <c r="C660" s="609" t="s">
        <v>37</v>
      </c>
      <c r="D660" s="610"/>
      <c r="E660" s="611"/>
      <c r="F660" s="159"/>
      <c r="G660" s="159"/>
    </row>
    <row r="661" spans="2:7" ht="50.25" customHeight="1" hidden="1">
      <c r="B661" s="118" t="s">
        <v>26</v>
      </c>
      <c r="C661" s="609" t="s">
        <v>77</v>
      </c>
      <c r="D661" s="610"/>
      <c r="E661" s="611"/>
      <c r="F661" s="159"/>
      <c r="G661" s="159"/>
    </row>
    <row r="662" spans="2:7" ht="33" customHeight="1" hidden="1">
      <c r="B662" s="118">
        <v>2</v>
      </c>
      <c r="C662" s="609" t="s">
        <v>27</v>
      </c>
      <c r="D662" s="610"/>
      <c r="E662" s="611"/>
      <c r="F662" s="118" t="s">
        <v>35</v>
      </c>
      <c r="G662" s="159">
        <f>SUM(G663:G667)</f>
        <v>0</v>
      </c>
    </row>
    <row r="663" spans="2:7" ht="45.75" customHeight="1" hidden="1">
      <c r="B663" s="118" t="s">
        <v>28</v>
      </c>
      <c r="C663" s="609" t="s">
        <v>78</v>
      </c>
      <c r="D663" s="610"/>
      <c r="E663" s="611"/>
      <c r="F663" s="159">
        <f>F659</f>
        <v>0</v>
      </c>
      <c r="G663" s="159">
        <f>F663*2.9%</f>
        <v>0</v>
      </c>
    </row>
    <row r="664" spans="2:7" ht="33" customHeight="1" hidden="1">
      <c r="B664" s="118" t="s">
        <v>29</v>
      </c>
      <c r="C664" s="609" t="s">
        <v>79</v>
      </c>
      <c r="D664" s="610"/>
      <c r="E664" s="611"/>
      <c r="F664" s="159"/>
      <c r="G664" s="159"/>
    </row>
    <row r="665" spans="2:7" ht="48" customHeight="1" hidden="1">
      <c r="B665" s="118" t="s">
        <v>30</v>
      </c>
      <c r="C665" s="609" t="s">
        <v>76</v>
      </c>
      <c r="D665" s="610"/>
      <c r="E665" s="611"/>
      <c r="F665" s="159">
        <f>F663</f>
        <v>0</v>
      </c>
      <c r="G665" s="159">
        <f>F665*0.2%</f>
        <v>0</v>
      </c>
    </row>
    <row r="666" spans="2:7" ht="46.5" customHeight="1" hidden="1">
      <c r="B666" s="118" t="s">
        <v>31</v>
      </c>
      <c r="C666" s="609" t="s">
        <v>80</v>
      </c>
      <c r="D666" s="610"/>
      <c r="E666" s="611"/>
      <c r="F666" s="159"/>
      <c r="G666" s="159"/>
    </row>
    <row r="667" spans="2:7" ht="45" customHeight="1" hidden="1">
      <c r="B667" s="118" t="s">
        <v>32</v>
      </c>
      <c r="C667" s="609" t="s">
        <v>80</v>
      </c>
      <c r="D667" s="610"/>
      <c r="E667" s="611"/>
      <c r="F667" s="159"/>
      <c r="G667" s="159"/>
    </row>
    <row r="668" spans="2:7" ht="38.25" customHeight="1" hidden="1">
      <c r="B668" s="118" t="s">
        <v>38</v>
      </c>
      <c r="C668" s="609" t="s">
        <v>39</v>
      </c>
      <c r="D668" s="610"/>
      <c r="E668" s="611"/>
      <c r="F668" s="159">
        <f>F665</f>
        <v>0</v>
      </c>
      <c r="G668" s="159">
        <f>F668*5.1%</f>
        <v>0</v>
      </c>
    </row>
    <row r="669" spans="2:7" ht="15.75" customHeight="1" hidden="1">
      <c r="B669" s="574" t="s">
        <v>72</v>
      </c>
      <c r="C669" s="575"/>
      <c r="D669" s="575"/>
      <c r="E669" s="576"/>
      <c r="F669" s="118" t="s">
        <v>35</v>
      </c>
      <c r="G669" s="161">
        <f>G658+G662+G668</f>
        <v>0</v>
      </c>
    </row>
    <row r="670" ht="15.75" customHeight="1" hidden="1"/>
    <row r="671" spans="2:7" ht="15.75" customHeight="1" hidden="1">
      <c r="B671" s="559" t="s">
        <v>263</v>
      </c>
      <c r="C671" s="559"/>
      <c r="D671" s="559"/>
      <c r="E671" s="559"/>
      <c r="F671" s="559"/>
      <c r="G671" s="559"/>
    </row>
    <row r="672" spans="2:7" ht="15.75" customHeight="1" hidden="1">
      <c r="B672"/>
      <c r="C672"/>
      <c r="D672"/>
      <c r="E672"/>
      <c r="F672"/>
      <c r="G672"/>
    </row>
    <row r="673" spans="2:7" ht="15.75" customHeight="1" hidden="1">
      <c r="B673" s="608" t="s">
        <v>220</v>
      </c>
      <c r="C673" s="608"/>
      <c r="D673" s="608"/>
      <c r="E673" s="608"/>
      <c r="F673" s="608"/>
      <c r="G673" s="608"/>
    </row>
    <row r="674" spans="2:7" ht="15.75" customHeight="1" hidden="1">
      <c r="B674"/>
      <c r="C674"/>
      <c r="D674"/>
      <c r="E674"/>
      <c r="F674"/>
      <c r="G674"/>
    </row>
    <row r="675" spans="2:7" ht="78.75" customHeight="1" hidden="1">
      <c r="B675" s="50" t="s">
        <v>33</v>
      </c>
      <c r="C675" s="533" t="s">
        <v>40</v>
      </c>
      <c r="D675" s="535"/>
      <c r="E675" s="50" t="s">
        <v>41</v>
      </c>
      <c r="F675" s="50" t="s">
        <v>42</v>
      </c>
      <c r="G675" s="50" t="s">
        <v>43</v>
      </c>
    </row>
    <row r="676" spans="2:7" ht="15.75" customHeight="1" hidden="1">
      <c r="B676" s="50">
        <v>1</v>
      </c>
      <c r="C676" s="533">
        <v>2</v>
      </c>
      <c r="D676" s="535"/>
      <c r="E676" s="50">
        <v>3</v>
      </c>
      <c r="F676" s="50">
        <v>4</v>
      </c>
      <c r="G676" s="50">
        <v>5</v>
      </c>
    </row>
    <row r="677" spans="2:7" ht="15.75" customHeight="1" hidden="1">
      <c r="B677" s="50"/>
      <c r="C677" s="609"/>
      <c r="D677" s="611"/>
      <c r="E677"/>
      <c r="F677" s="50"/>
      <c r="G677" s="123"/>
    </row>
    <row r="678" spans="2:7" ht="17.25" customHeight="1" hidden="1">
      <c r="B678" s="50"/>
      <c r="C678" s="609"/>
      <c r="D678" s="611"/>
      <c r="E678" s="123"/>
      <c r="F678" s="50"/>
      <c r="G678" s="123"/>
    </row>
    <row r="679" spans="1:8" s="7" customFormat="1" ht="15.75" customHeight="1" hidden="1">
      <c r="A679"/>
      <c r="B679" s="585" t="s">
        <v>223</v>
      </c>
      <c r="C679" s="586"/>
      <c r="D679" s="587"/>
      <c r="E679" s="25"/>
      <c r="F679" s="122"/>
      <c r="G679">
        <f>SUM(G677:G678)</f>
        <v>0</v>
      </c>
      <c r="H679"/>
    </row>
    <row r="680" ht="15.75" customHeight="1" hidden="1"/>
    <row r="681" spans="2:8" ht="15.75" customHeight="1" hidden="1">
      <c r="B681" s="559" t="s">
        <v>264</v>
      </c>
      <c r="C681" s="559"/>
      <c r="D681" s="559"/>
      <c r="E681" s="559"/>
      <c r="F681" s="559"/>
      <c r="G681" s="559"/>
      <c r="H681"/>
    </row>
    <row r="682" spans="2:8" ht="15.75" customHeight="1" hidden="1">
      <c r="B682" s="162"/>
      <c r="C682" s="162"/>
      <c r="D682" s="162"/>
      <c r="E682" s="162"/>
      <c r="F682" s="162"/>
      <c r="G682" s="162"/>
      <c r="H682"/>
    </row>
    <row r="683" spans="2:8" ht="15.75" customHeight="1" hidden="1">
      <c r="B683" s="608" t="s">
        <v>221</v>
      </c>
      <c r="C683" s="608"/>
      <c r="D683" s="608"/>
      <c r="E683" s="608"/>
      <c r="F683" s="608"/>
      <c r="G683" s="608"/>
      <c r="H683"/>
    </row>
    <row r="684" spans="1:8" s="8" customFormat="1" ht="15.75" customHeight="1" hidden="1">
      <c r="A684" s="147"/>
      <c r="B684" s="559" t="s">
        <v>265</v>
      </c>
      <c r="C684" s="559"/>
      <c r="D684" s="559"/>
      <c r="E684" s="559"/>
      <c r="F684" s="559"/>
      <c r="G684" s="559"/>
      <c r="H684"/>
    </row>
    <row r="685" spans="1:8" s="8" customFormat="1" ht="15.75" customHeight="1" hidden="1">
      <c r="A685" s="147"/>
      <c r="B685"/>
      <c r="C685"/>
      <c r="D685"/>
      <c r="E685"/>
      <c r="F685"/>
      <c r="G685"/>
      <c r="H685"/>
    </row>
    <row r="686" spans="1:8" s="8" customFormat="1" ht="31.5" customHeight="1" hidden="1">
      <c r="A686" s="147"/>
      <c r="B686" s="50" t="s">
        <v>33</v>
      </c>
      <c r="C686" s="50" t="s">
        <v>40</v>
      </c>
      <c r="D686" s="50" t="s">
        <v>44</v>
      </c>
      <c r="E686" s="50" t="s">
        <v>45</v>
      </c>
      <c r="F686" s="50" t="s">
        <v>46</v>
      </c>
      <c r="G686" s="50" t="s">
        <v>47</v>
      </c>
      <c r="H686"/>
    </row>
    <row r="687" spans="1:8" s="8" customFormat="1" ht="15.75" customHeight="1" hidden="1">
      <c r="A687" s="147"/>
      <c r="B687" s="50">
        <v>1</v>
      </c>
      <c r="C687" s="50">
        <v>2</v>
      </c>
      <c r="D687" s="50">
        <v>3</v>
      </c>
      <c r="E687" s="50">
        <v>4</v>
      </c>
      <c r="F687" s="50">
        <v>5</v>
      </c>
      <c r="G687" s="50">
        <v>6</v>
      </c>
      <c r="H687"/>
    </row>
    <row r="688" spans="1:8" s="8" customFormat="1" ht="15.75" customHeight="1" hidden="1">
      <c r="A688" s="147"/>
      <c r="B688" s="50"/>
      <c r="C688" s="36"/>
      <c r="D688" s="50"/>
      <c r="E688" s="50"/>
      <c r="F688"/>
      <c r="G688"/>
      <c r="H688"/>
    </row>
    <row r="689" spans="1:8" s="8" customFormat="1" ht="15.75" customHeight="1" hidden="1">
      <c r="A689" s="147"/>
      <c r="B689" s="50"/>
      <c r="C689" s="36"/>
      <c r="D689" s="50"/>
      <c r="E689" s="50"/>
      <c r="F689"/>
      <c r="G689" s="123"/>
      <c r="H689"/>
    </row>
    <row r="690" spans="1:8" s="8" customFormat="1" ht="15.75" customHeight="1" hidden="1">
      <c r="A690" s="147"/>
      <c r="B690" s="585" t="s">
        <v>70</v>
      </c>
      <c r="C690" s="586"/>
      <c r="D690" s="586"/>
      <c r="E690" s="586"/>
      <c r="F690" s="587"/>
      <c r="G690" s="122">
        <f>SUM(G688:G689)</f>
        <v>0</v>
      </c>
      <c r="H690"/>
    </row>
    <row r="691" spans="1:8" s="8" customFormat="1" ht="15.75" customHeight="1" hidden="1">
      <c r="A691" s="147"/>
      <c r="B691"/>
      <c r="C691"/>
      <c r="D691"/>
      <c r="E691"/>
      <c r="F691"/>
      <c r="G691"/>
      <c r="H691"/>
    </row>
    <row r="692" spans="1:8" s="8" customFormat="1" ht="15.75" customHeight="1" hidden="1">
      <c r="A692" s="147"/>
      <c r="B692" s="559" t="s">
        <v>266</v>
      </c>
      <c r="C692" s="559"/>
      <c r="D692" s="559"/>
      <c r="E692" s="559"/>
      <c r="F692" s="559"/>
      <c r="G692" s="559"/>
      <c r="H692"/>
    </row>
    <row r="693" spans="1:8" s="8" customFormat="1" ht="15.75" customHeight="1" hidden="1">
      <c r="A693" s="147"/>
      <c r="B693"/>
      <c r="C693"/>
      <c r="D693"/>
      <c r="E693"/>
      <c r="F693"/>
      <c r="G693"/>
      <c r="H693"/>
    </row>
    <row r="694" spans="1:8" s="8" customFormat="1" ht="33" customHeight="1" hidden="1">
      <c r="A694" s="147"/>
      <c r="B694" s="50" t="s">
        <v>33</v>
      </c>
      <c r="C694" s="50" t="s">
        <v>40</v>
      </c>
      <c r="D694" s="50" t="s">
        <v>283</v>
      </c>
      <c r="E694" s="533" t="s">
        <v>284</v>
      </c>
      <c r="F694" s="535"/>
      <c r="G694" s="50" t="s">
        <v>47</v>
      </c>
      <c r="H694"/>
    </row>
    <row r="695" spans="1:8" s="8" customFormat="1" ht="15.75" customHeight="1" hidden="1">
      <c r="A695" s="147"/>
      <c r="B695" s="50">
        <v>1</v>
      </c>
      <c r="C695" s="50">
        <v>2</v>
      </c>
      <c r="D695" s="50">
        <v>3</v>
      </c>
      <c r="E695" s="533">
        <v>4</v>
      </c>
      <c r="F695" s="535"/>
      <c r="G695" s="50">
        <v>5</v>
      </c>
      <c r="H695"/>
    </row>
    <row r="696" spans="1:8" s="8" customFormat="1" ht="15.75" customHeight="1" hidden="1">
      <c r="A696" s="147"/>
      <c r="B696" s="50"/>
      <c r="C696" s="50"/>
      <c r="D696" s="50"/>
      <c r="E696" s="533"/>
      <c r="F696" s="535"/>
      <c r="G696" s="50"/>
      <c r="H696"/>
    </row>
    <row r="697" spans="1:8" s="8" customFormat="1" ht="15.75" customHeight="1" hidden="1">
      <c r="A697" s="147"/>
      <c r="B697" s="50"/>
      <c r="C697" s="36"/>
      <c r="D697" s="50"/>
      <c r="E697" s="533"/>
      <c r="F697" s="535"/>
      <c r="G697" s="123"/>
      <c r="H697"/>
    </row>
    <row r="698" spans="1:8" s="8" customFormat="1" ht="15.75" customHeight="1" hidden="1">
      <c r="A698" s="147"/>
      <c r="B698" s="585" t="s">
        <v>226</v>
      </c>
      <c r="C698" s="586"/>
      <c r="D698" s="586"/>
      <c r="E698" s="586"/>
      <c r="F698" s="587"/>
      <c r="G698" s="122">
        <f>SUM(G697:G697)</f>
        <v>0</v>
      </c>
      <c r="H698"/>
    </row>
    <row r="699" spans="1:8" s="8" customFormat="1" ht="15.75" customHeight="1" hidden="1">
      <c r="A699" s="147"/>
      <c r="B699"/>
      <c r="C699"/>
      <c r="D699"/>
      <c r="E699"/>
      <c r="F699"/>
      <c r="G699"/>
      <c r="H699"/>
    </row>
    <row r="700" spans="1:8" s="8" customFormat="1" ht="21" customHeight="1" hidden="1">
      <c r="A700" s="147"/>
      <c r="B700" s="621" t="s">
        <v>267</v>
      </c>
      <c r="C700" s="621"/>
      <c r="D700" s="621"/>
      <c r="E700" s="621"/>
      <c r="F700" s="621"/>
      <c r="G700" s="621"/>
      <c r="H700"/>
    </row>
    <row r="701" spans="1:8" s="8" customFormat="1" ht="15.75" customHeight="1" hidden="1">
      <c r="A701" s="147"/>
      <c r="B701"/>
      <c r="C701"/>
      <c r="D701"/>
      <c r="E701"/>
      <c r="F701"/>
      <c r="G701"/>
      <c r="H701"/>
    </row>
    <row r="702" spans="1:8" s="8" customFormat="1" ht="47.25" customHeight="1" hidden="1">
      <c r="A702" s="147"/>
      <c r="B702" s="50" t="s">
        <v>33</v>
      </c>
      <c r="C702" s="50" t="s">
        <v>40</v>
      </c>
      <c r="D702" s="50" t="s">
        <v>84</v>
      </c>
      <c r="E702" s="50" t="s">
        <v>48</v>
      </c>
      <c r="F702" s="50" t="s">
        <v>49</v>
      </c>
      <c r="G702" s="50" t="s">
        <v>47</v>
      </c>
      <c r="H702"/>
    </row>
    <row r="703" spans="1:8" s="8" customFormat="1" ht="15.75" customHeight="1" hidden="1">
      <c r="A703" s="147"/>
      <c r="B703" s="50">
        <v>1</v>
      </c>
      <c r="C703" s="50">
        <v>2</v>
      </c>
      <c r="D703" s="50">
        <v>3</v>
      </c>
      <c r="E703" s="50">
        <v>4</v>
      </c>
      <c r="F703" s="50">
        <v>5</v>
      </c>
      <c r="G703" s="50">
        <v>6</v>
      </c>
      <c r="H703"/>
    </row>
    <row r="704" spans="1:8" s="8" customFormat="1" ht="15.75" customHeight="1" hidden="1">
      <c r="A704" s="147"/>
      <c r="B704" s="50"/>
      <c r="C704" s="36"/>
      <c r="D704"/>
      <c r="E704" s="50"/>
      <c r="F704" s="50"/>
      <c r="G704"/>
      <c r="H704"/>
    </row>
    <row r="705" spans="1:8" s="8" customFormat="1" ht="15.75" customHeight="1" hidden="1">
      <c r="A705" s="147"/>
      <c r="B705" s="50"/>
      <c r="C705" s="50"/>
      <c r="D705" s="50"/>
      <c r="E705" s="50"/>
      <c r="F705" s="50"/>
      <c r="G705" s="50"/>
      <c r="H705"/>
    </row>
    <row r="706" spans="1:8" s="9" customFormat="1" ht="15.75" customHeight="1" hidden="1">
      <c r="A706"/>
      <c r="B706" s="585" t="s">
        <v>73</v>
      </c>
      <c r="C706" s="586"/>
      <c r="D706" s="586"/>
      <c r="E706" s="586"/>
      <c r="F706" s="587"/>
      <c r="G706" s="122">
        <f>SUM(G704:G705)</f>
        <v>0</v>
      </c>
      <c r="H706" s="22"/>
    </row>
    <row r="707" spans="1:8" s="9" customFormat="1" ht="15.75" customHeight="1" hidden="1">
      <c r="A707"/>
      <c r="B707"/>
      <c r="C707"/>
      <c r="D707"/>
      <c r="E707"/>
      <c r="F707"/>
      <c r="G707"/>
      <c r="H707" s="22"/>
    </row>
    <row r="708" spans="1:8" s="9" customFormat="1" ht="15.75" customHeight="1" hidden="1">
      <c r="A708"/>
      <c r="B708" s="582" t="s">
        <v>268</v>
      </c>
      <c r="C708" s="582"/>
      <c r="D708" s="582"/>
      <c r="E708" s="582"/>
      <c r="F708" s="582"/>
      <c r="G708" s="582"/>
      <c r="H708" s="22"/>
    </row>
    <row r="709" spans="1:8" s="9" customFormat="1" ht="15.75" customHeight="1" hidden="1">
      <c r="A709"/>
      <c r="B709"/>
      <c r="C709"/>
      <c r="D709"/>
      <c r="E709"/>
      <c r="F709"/>
      <c r="G709"/>
      <c r="H709" s="22"/>
    </row>
    <row r="710" spans="1:8" s="9" customFormat="1" ht="32.25" customHeight="1" hidden="1">
      <c r="A710"/>
      <c r="B710" s="50" t="s">
        <v>33</v>
      </c>
      <c r="C710" s="50" t="s">
        <v>40</v>
      </c>
      <c r="D710" s="50" t="s">
        <v>54</v>
      </c>
      <c r="E710" s="27" t="s">
        <v>285</v>
      </c>
      <c r="F710" s="50" t="s">
        <v>47</v>
      </c>
      <c r="G710" s="8"/>
      <c r="H710" s="22"/>
    </row>
    <row r="711" spans="1:8" s="9" customFormat="1" ht="15.75" customHeight="1" hidden="1">
      <c r="A711"/>
      <c r="B711" s="118">
        <v>1</v>
      </c>
      <c r="C711" s="118">
        <v>2</v>
      </c>
      <c r="D711" s="118">
        <v>3</v>
      </c>
      <c r="E711" s="158">
        <v>4</v>
      </c>
      <c r="F711" s="50">
        <v>5</v>
      </c>
      <c r="G711" s="8"/>
      <c r="H711" s="22"/>
    </row>
    <row r="712" spans="1:8" s="9" customFormat="1" ht="15.75" customHeight="1" hidden="1">
      <c r="A712"/>
      <c r="B712" s="118"/>
      <c r="C712" s="50"/>
      <c r="D712" s="118"/>
      <c r="E712" s="158"/>
      <c r="F712"/>
      <c r="G712" s="8"/>
      <c r="H712" s="22"/>
    </row>
    <row r="713" spans="1:8" s="9" customFormat="1" ht="15.75" customHeight="1" hidden="1">
      <c r="A713"/>
      <c r="B713" s="118"/>
      <c r="C713" s="50"/>
      <c r="D713" s="118"/>
      <c r="E713" s="158"/>
      <c r="F713"/>
      <c r="G713" s="8"/>
      <c r="H713" s="22"/>
    </row>
    <row r="714" spans="1:8" s="8" customFormat="1" ht="15.75" customHeight="1" hidden="1">
      <c r="A714" s="147"/>
      <c r="B714" s="574" t="s">
        <v>227</v>
      </c>
      <c r="C714" s="575"/>
      <c r="D714" s="575"/>
      <c r="E714" s="576"/>
      <c r="F714" s="122">
        <f>SUM(F712:F713)</f>
        <v>0</v>
      </c>
      <c r="G714" s="9"/>
      <c r="H714"/>
    </row>
    <row r="715" spans="1:8" s="8" customFormat="1" ht="15.75" customHeight="1" hidden="1">
      <c r="A715" s="147"/>
      <c r="B715"/>
      <c r="C715"/>
      <c r="D715"/>
      <c r="E715"/>
      <c r="F715"/>
      <c r="G715" s="9"/>
      <c r="H715"/>
    </row>
    <row r="716" spans="1:8" s="8" customFormat="1" ht="15.75" customHeight="1" hidden="1">
      <c r="A716" s="147"/>
      <c r="B716" s="582" t="s">
        <v>269</v>
      </c>
      <c r="C716" s="582"/>
      <c r="D716" s="582"/>
      <c r="E716" s="582"/>
      <c r="F716" s="582"/>
      <c r="G716" s="582"/>
      <c r="H716"/>
    </row>
    <row r="717" spans="1:8" s="8" customFormat="1" ht="15.75" customHeight="1" hidden="1">
      <c r="A717" s="147"/>
      <c r="B717"/>
      <c r="C717"/>
      <c r="D717"/>
      <c r="E717"/>
      <c r="F717"/>
      <c r="G717"/>
      <c r="H717"/>
    </row>
    <row r="718" spans="1:8" s="8" customFormat="1" ht="32.25" customHeight="1" hidden="1">
      <c r="A718" s="147"/>
      <c r="B718" s="50" t="s">
        <v>33</v>
      </c>
      <c r="C718" s="50" t="s">
        <v>40</v>
      </c>
      <c r="D718" s="50" t="s">
        <v>50</v>
      </c>
      <c r="E718" s="27" t="s">
        <v>51</v>
      </c>
      <c r="F718" s="50" t="s">
        <v>47</v>
      </c>
      <c r="H718"/>
    </row>
    <row r="719" spans="1:8" s="8" customFormat="1" ht="15.75" customHeight="1" hidden="1">
      <c r="A719" s="147"/>
      <c r="B719" s="118">
        <v>1</v>
      </c>
      <c r="C719" s="118">
        <v>2</v>
      </c>
      <c r="D719" s="118">
        <v>3</v>
      </c>
      <c r="E719" s="158">
        <v>4</v>
      </c>
      <c r="F719" s="50">
        <v>5</v>
      </c>
      <c r="H719"/>
    </row>
    <row r="720" spans="1:8" s="8" customFormat="1" ht="15.75" customHeight="1" hidden="1">
      <c r="A720" s="147"/>
      <c r="B720" s="118"/>
      <c r="C720" s="36"/>
      <c r="D720" s="118"/>
      <c r="E720" s="158"/>
      <c r="F720"/>
      <c r="H720"/>
    </row>
    <row r="721" spans="1:8" s="8" customFormat="1" ht="15.75" customHeight="1" hidden="1">
      <c r="A721" s="147"/>
      <c r="B721" s="118"/>
      <c r="C721" s="36"/>
      <c r="D721" s="118"/>
      <c r="E721" s="158"/>
      <c r="F721"/>
      <c r="H721"/>
    </row>
    <row r="722" spans="1:8" s="9" customFormat="1" ht="15.75" customHeight="1" hidden="1">
      <c r="A722"/>
      <c r="B722" s="574" t="s">
        <v>69</v>
      </c>
      <c r="C722" s="575"/>
      <c r="D722" s="575"/>
      <c r="E722" s="576"/>
      <c r="F722" s="122">
        <f>SUM(F720:F721)</f>
        <v>0</v>
      </c>
      <c r="H722"/>
    </row>
    <row r="723" spans="1:8" s="9" customFormat="1" ht="15.75" customHeight="1" hidden="1">
      <c r="A723"/>
      <c r="B723"/>
      <c r="C723"/>
      <c r="D723"/>
      <c r="E723"/>
      <c r="F723"/>
      <c r="G723"/>
      <c r="H723"/>
    </row>
    <row r="724" spans="1:8" s="8" customFormat="1" ht="15.75" customHeight="1" hidden="1">
      <c r="A724" s="147"/>
      <c r="B724" s="559" t="s">
        <v>270</v>
      </c>
      <c r="C724" s="559"/>
      <c r="D724" s="559"/>
      <c r="E724" s="559"/>
      <c r="F724" s="559"/>
      <c r="G724" s="559"/>
      <c r="H724"/>
    </row>
    <row r="725" spans="1:8" s="8" customFormat="1" ht="15.75" customHeight="1" hidden="1">
      <c r="A725" s="147"/>
      <c r="B725"/>
      <c r="C725"/>
      <c r="D725"/>
      <c r="E725"/>
      <c r="F725"/>
      <c r="G725"/>
      <c r="H725"/>
    </row>
    <row r="726" spans="1:8" s="8" customFormat="1" ht="31.5" customHeight="1" hidden="1">
      <c r="A726" s="147"/>
      <c r="B726" s="50" t="s">
        <v>33</v>
      </c>
      <c r="C726" s="533" t="s">
        <v>40</v>
      </c>
      <c r="D726" s="534"/>
      <c r="E726" s="535"/>
      <c r="F726" s="50" t="s">
        <v>52</v>
      </c>
      <c r="G726" s="50" t="s">
        <v>53</v>
      </c>
      <c r="H726"/>
    </row>
    <row r="727" spans="1:8" s="8" customFormat="1" ht="15.75" customHeight="1" hidden="1">
      <c r="A727" s="147"/>
      <c r="B727" s="26">
        <v>1</v>
      </c>
      <c r="C727" s="615">
        <v>2</v>
      </c>
      <c r="D727" s="633"/>
      <c r="E727" s="616"/>
      <c r="F727" s="26">
        <v>3</v>
      </c>
      <c r="G727" s="26">
        <v>4</v>
      </c>
      <c r="H727"/>
    </row>
    <row r="728" spans="1:8" s="8" customFormat="1" ht="15.75" customHeight="1" hidden="1">
      <c r="A728" s="147"/>
      <c r="B728" s="118"/>
      <c r="C728" s="571"/>
      <c r="D728" s="572"/>
      <c r="E728" s="573"/>
      <c r="F728"/>
      <c r="G728"/>
      <c r="H728"/>
    </row>
    <row r="729" spans="1:8" s="8" customFormat="1" ht="25.5" customHeight="1" hidden="1">
      <c r="A729" s="147"/>
      <c r="B729" s="574" t="s">
        <v>71</v>
      </c>
      <c r="C729" s="575"/>
      <c r="D729" s="575"/>
      <c r="E729" s="575"/>
      <c r="F729" s="576"/>
      <c r="G729">
        <f>SUM(G728:G728)</f>
        <v>0</v>
      </c>
      <c r="H729"/>
    </row>
    <row r="730" spans="1:8" s="8" customFormat="1" ht="15.75" customHeight="1" hidden="1">
      <c r="A730" s="147"/>
      <c r="B730"/>
      <c r="C730"/>
      <c r="D730"/>
      <c r="E730"/>
      <c r="F730"/>
      <c r="G730"/>
      <c r="H730"/>
    </row>
    <row r="731" spans="1:8" s="8" customFormat="1" ht="17.25" customHeight="1" hidden="1">
      <c r="A731" s="147"/>
      <c r="B731" s="561" t="s">
        <v>271</v>
      </c>
      <c r="C731" s="561"/>
      <c r="D731" s="561"/>
      <c r="E731" s="561"/>
      <c r="F731" s="561"/>
      <c r="G731" s="561"/>
      <c r="H731"/>
    </row>
    <row r="732" spans="1:8" s="8" customFormat="1" ht="15.75" customHeight="1" hidden="1">
      <c r="A732" s="147"/>
      <c r="B732"/>
      <c r="C732"/>
      <c r="D732"/>
      <c r="E732"/>
      <c r="F732"/>
      <c r="G732"/>
      <c r="H732"/>
    </row>
    <row r="733" spans="1:8" s="8" customFormat="1" ht="31.5" customHeight="1" hidden="1">
      <c r="A733" s="147"/>
      <c r="B733" s="50" t="s">
        <v>33</v>
      </c>
      <c r="C733" s="533" t="s">
        <v>40</v>
      </c>
      <c r="D733" s="535"/>
      <c r="E733" s="50" t="s">
        <v>54</v>
      </c>
      <c r="F733" s="50" t="s">
        <v>55</v>
      </c>
      <c r="G733" s="50" t="s">
        <v>47</v>
      </c>
      <c r="H733"/>
    </row>
    <row r="734" spans="1:8" s="8" customFormat="1" ht="15.75" customHeight="1" hidden="1">
      <c r="A734" s="147"/>
      <c r="B734" s="26">
        <v>1</v>
      </c>
      <c r="C734" s="615">
        <v>2</v>
      </c>
      <c r="D734" s="616"/>
      <c r="E734" s="26">
        <v>3</v>
      </c>
      <c r="F734" s="26">
        <v>4</v>
      </c>
      <c r="G734" s="50">
        <v>5</v>
      </c>
      <c r="H734"/>
    </row>
    <row r="735" spans="1:8" s="8" customFormat="1" ht="15.75" customHeight="1" hidden="1">
      <c r="A735" s="147"/>
      <c r="B735" s="26"/>
      <c r="C735" s="615"/>
      <c r="D735" s="616"/>
      <c r="E735" s="26"/>
      <c r="F735" s="26"/>
      <c r="G735" s="50"/>
      <c r="H735"/>
    </row>
    <row r="736" spans="1:8" s="8" customFormat="1" ht="15.75" customHeight="1" hidden="1">
      <c r="A736" s="147"/>
      <c r="B736" s="26"/>
      <c r="C736" s="571"/>
      <c r="D736" s="573"/>
      <c r="E736"/>
      <c r="F736"/>
      <c r="G736"/>
      <c r="H736"/>
    </row>
    <row r="737" spans="1:8" s="8" customFormat="1" ht="15.75" customHeight="1" hidden="1">
      <c r="A737" s="147"/>
      <c r="B737" s="574" t="s">
        <v>60</v>
      </c>
      <c r="C737" s="575"/>
      <c r="D737" s="575"/>
      <c r="E737" s="575"/>
      <c r="F737" s="576"/>
      <c r="G737" s="161">
        <f>SUM(G736)</f>
        <v>0</v>
      </c>
      <c r="H737"/>
    </row>
    <row r="738" spans="1:8" s="8" customFormat="1" ht="15.75" customHeight="1" hidden="1">
      <c r="A738" s="147"/>
      <c r="B738"/>
      <c r="C738"/>
      <c r="D738"/>
      <c r="E738"/>
      <c r="F738"/>
      <c r="G738"/>
      <c r="H738"/>
    </row>
    <row r="739" spans="1:8" s="8" customFormat="1" ht="15.75" customHeight="1" hidden="1">
      <c r="A739" s="147"/>
      <c r="B739" s="559" t="s">
        <v>270</v>
      </c>
      <c r="C739" s="559"/>
      <c r="D739" s="559"/>
      <c r="E739" s="559"/>
      <c r="F739" s="559"/>
      <c r="G739" s="559"/>
      <c r="H739"/>
    </row>
    <row r="740" spans="1:8" s="8" customFormat="1" ht="9.75" customHeight="1" hidden="1">
      <c r="A740" s="147"/>
      <c r="B740"/>
      <c r="C740"/>
      <c r="D740"/>
      <c r="E740"/>
      <c r="F740"/>
      <c r="G740"/>
      <c r="H740"/>
    </row>
    <row r="741" spans="1:8" s="8" customFormat="1" ht="31.5" customHeight="1" hidden="1">
      <c r="A741" s="147"/>
      <c r="B741" s="50" t="s">
        <v>33</v>
      </c>
      <c r="C741" s="533" t="s">
        <v>40</v>
      </c>
      <c r="D741" s="534"/>
      <c r="E741" s="535"/>
      <c r="F741" s="50" t="s">
        <v>52</v>
      </c>
      <c r="G741" s="50" t="s">
        <v>53</v>
      </c>
      <c r="H741"/>
    </row>
    <row r="742" spans="1:8" s="8" customFormat="1" ht="15.75" customHeight="1" hidden="1">
      <c r="A742" s="147"/>
      <c r="B742" s="26">
        <v>1</v>
      </c>
      <c r="C742" s="615">
        <v>2</v>
      </c>
      <c r="D742" s="633"/>
      <c r="E742" s="616"/>
      <c r="F742" s="26">
        <v>3</v>
      </c>
      <c r="G742" s="26">
        <v>4</v>
      </c>
      <c r="H742"/>
    </row>
    <row r="743" spans="1:8" s="8" customFormat="1" ht="15.75" customHeight="1" hidden="1">
      <c r="A743" s="147"/>
      <c r="B743" s="118">
        <v>1</v>
      </c>
      <c r="C743" s="571" t="s">
        <v>515</v>
      </c>
      <c r="D743" s="572"/>
      <c r="E743" s="573"/>
      <c r="F743" t="s">
        <v>313</v>
      </c>
      <c r="G743">
        <v>792350</v>
      </c>
      <c r="H743"/>
    </row>
    <row r="744" spans="1:8" s="8" customFormat="1" ht="15.75" customHeight="1" hidden="1">
      <c r="A744" s="147"/>
      <c r="B744" s="574" t="s">
        <v>71</v>
      </c>
      <c r="C744" s="575"/>
      <c r="D744" s="575"/>
      <c r="E744" s="575"/>
      <c r="F744" s="576"/>
      <c r="G744">
        <f>SUM(G743:G743)</f>
        <v>792350</v>
      </c>
      <c r="H744"/>
    </row>
    <row r="745" spans="2:8" ht="15.75" customHeight="1" hidden="1">
      <c r="B745" s="574" t="s">
        <v>527</v>
      </c>
      <c r="C745" s="575"/>
      <c r="D745" s="575"/>
      <c r="E745" s="575"/>
      <c r="F745" s="576"/>
      <c r="G745" s="314">
        <f>G744</f>
        <v>792350</v>
      </c>
      <c r="H745"/>
    </row>
    <row r="746" spans="2:8" ht="7.5" customHeight="1" hidden="1">
      <c r="B746" s="150"/>
      <c r="C746" s="150"/>
      <c r="D746" s="150"/>
      <c r="E746" s="150"/>
      <c r="F746" s="150"/>
      <c r="G746" s="150"/>
      <c r="H746" s="150"/>
    </row>
    <row r="747" spans="1:8" s="8" customFormat="1" ht="15.75" customHeight="1" hidden="1">
      <c r="A747" s="147"/>
      <c r="B747" s="562" t="s">
        <v>272</v>
      </c>
      <c r="C747" s="562"/>
      <c r="D747" s="562"/>
      <c r="E747" s="562"/>
      <c r="F747" s="562"/>
      <c r="G747" s="562"/>
      <c r="H747"/>
    </row>
    <row r="748" spans="1:8" s="8" customFormat="1" ht="3.75" customHeight="1" hidden="1">
      <c r="A748" s="147"/>
      <c r="B748"/>
      <c r="C748"/>
      <c r="D748"/>
      <c r="E748"/>
      <c r="F748"/>
      <c r="G748"/>
      <c r="H748"/>
    </row>
    <row r="749" spans="1:8" s="8" customFormat="1" ht="31.5" customHeight="1" hidden="1">
      <c r="A749" s="147"/>
      <c r="B749" s="50" t="s">
        <v>33</v>
      </c>
      <c r="C749" s="533" t="s">
        <v>40</v>
      </c>
      <c r="D749" s="534"/>
      <c r="E749" s="535"/>
      <c r="F749" s="50" t="s">
        <v>52</v>
      </c>
      <c r="G749" s="50" t="s">
        <v>53</v>
      </c>
      <c r="H749"/>
    </row>
    <row r="750" spans="1:8" s="8" customFormat="1" ht="15.75" customHeight="1" hidden="1">
      <c r="A750" s="147"/>
      <c r="B750" s="26">
        <v>1</v>
      </c>
      <c r="C750" s="615">
        <v>2</v>
      </c>
      <c r="D750" s="633"/>
      <c r="E750" s="616"/>
      <c r="F750" s="26">
        <v>3</v>
      </c>
      <c r="G750" s="26">
        <v>4</v>
      </c>
      <c r="H750"/>
    </row>
    <row r="751" spans="1:8" s="8" customFormat="1" ht="2.25" customHeight="1" hidden="1">
      <c r="A751" s="147"/>
      <c r="B751" s="118">
        <v>1</v>
      </c>
      <c r="C751" s="571" t="s">
        <v>442</v>
      </c>
      <c r="D751" s="572"/>
      <c r="E751" s="573"/>
      <c r="F751">
        <v>1</v>
      </c>
      <c r="G751">
        <f>5950000+400000+7550189.2</f>
        <v>13900189.2</v>
      </c>
      <c r="H751"/>
    </row>
    <row r="752" spans="1:8" s="8" customFormat="1" ht="15.75" customHeight="1" hidden="1">
      <c r="A752" s="147"/>
      <c r="B752" s="118"/>
      <c r="C752" s="571"/>
      <c r="D752" s="572"/>
      <c r="E752" s="573"/>
      <c r="F752"/>
      <c r="G752"/>
      <c r="H752"/>
    </row>
    <row r="753" spans="1:8" s="8" customFormat="1" ht="15.75" customHeight="1" hidden="1">
      <c r="A753" s="147"/>
      <c r="B753" s="574" t="s">
        <v>74</v>
      </c>
      <c r="C753" s="575"/>
      <c r="D753" s="575"/>
      <c r="E753" s="575"/>
      <c r="F753" s="576"/>
      <c r="G753" s="161">
        <f>SUM(G751:G751)</f>
        <v>13900189.2</v>
      </c>
      <c r="H753"/>
    </row>
    <row r="754" spans="1:8" s="8" customFormat="1" ht="15.75" customHeight="1" hidden="1">
      <c r="A754" s="147"/>
      <c r="B754" s="665" t="s">
        <v>493</v>
      </c>
      <c r="C754" s="666"/>
      <c r="D754" s="666"/>
      <c r="E754" s="666"/>
      <c r="F754" s="667"/>
      <c r="G754" s="161">
        <f>G751-G787</f>
        <v>6950094.6</v>
      </c>
      <c r="H754"/>
    </row>
    <row r="755" spans="1:8" s="8" customFormat="1" ht="15.75" customHeight="1" hidden="1">
      <c r="A755" s="147"/>
      <c r="B755" s="653" t="s">
        <v>273</v>
      </c>
      <c r="C755" s="653"/>
      <c r="D755" s="653"/>
      <c r="E755" s="653"/>
      <c r="F755" s="653"/>
      <c r="G755" s="653"/>
      <c r="H755"/>
    </row>
    <row r="756" spans="1:8" s="8" customFormat="1" ht="15.75" customHeight="1" hidden="1">
      <c r="A756" s="147"/>
      <c r="B756"/>
      <c r="C756"/>
      <c r="D756"/>
      <c r="E756"/>
      <c r="F756"/>
      <c r="G756"/>
      <c r="H756"/>
    </row>
    <row r="757" spans="1:8" s="8" customFormat="1" ht="31.5" customHeight="1" hidden="1">
      <c r="A757" s="147"/>
      <c r="B757" s="50" t="s">
        <v>33</v>
      </c>
      <c r="C757" s="533" t="s">
        <v>40</v>
      </c>
      <c r="D757" s="535"/>
      <c r="E757" s="50" t="s">
        <v>54</v>
      </c>
      <c r="F757" s="50" t="s">
        <v>55</v>
      </c>
      <c r="G757" s="50" t="s">
        <v>47</v>
      </c>
      <c r="H757"/>
    </row>
    <row r="758" spans="1:8" s="8" customFormat="1" ht="15.75" customHeight="1" hidden="1">
      <c r="A758" s="147"/>
      <c r="B758" s="27">
        <v>1</v>
      </c>
      <c r="C758" s="619">
        <v>2</v>
      </c>
      <c r="D758" s="627"/>
      <c r="E758">
        <v>3</v>
      </c>
      <c r="F758">
        <v>4</v>
      </c>
      <c r="G758" s="30">
        <v>5</v>
      </c>
      <c r="H758"/>
    </row>
    <row r="759" spans="1:8" s="8" customFormat="1" ht="15.75" customHeight="1" hidden="1">
      <c r="A759" s="147"/>
      <c r="B759" s="27"/>
      <c r="C759" s="571"/>
      <c r="D759" s="573"/>
      <c r="E759"/>
      <c r="F759"/>
      <c r="G759" s="30"/>
      <c r="H759"/>
    </row>
    <row r="760" spans="1:8" s="8" customFormat="1" ht="15.75" customHeight="1" hidden="1">
      <c r="A760" s="147"/>
      <c r="B760" s="50"/>
      <c r="C760" s="571"/>
      <c r="D760" s="573"/>
      <c r="E760"/>
      <c r="F760"/>
      <c r="G760" s="123"/>
      <c r="H760"/>
    </row>
    <row r="761" spans="1:8" s="8" customFormat="1" ht="15.75" customHeight="1" hidden="1">
      <c r="A761" s="147"/>
      <c r="B761" s="574" t="s">
        <v>57</v>
      </c>
      <c r="C761" s="575"/>
      <c r="D761" s="575"/>
      <c r="E761" s="575"/>
      <c r="F761" s="576"/>
      <c r="G761" s="68">
        <f>G759+G760</f>
        <v>0</v>
      </c>
      <c r="H761"/>
    </row>
    <row r="762" spans="1:9" s="8" customFormat="1" ht="15.75" customHeight="1" hidden="1">
      <c r="A762"/>
      <c r="B762"/>
      <c r="C762"/>
      <c r="D762"/>
      <c r="E762"/>
      <c r="F762"/>
      <c r="G762"/>
      <c r="H762"/>
      <c r="I762"/>
    </row>
    <row r="763" spans="1:8" s="8" customFormat="1" ht="33" customHeight="1" hidden="1">
      <c r="A763" s="147"/>
      <c r="B763" s="582" t="s">
        <v>274</v>
      </c>
      <c r="C763" s="582"/>
      <c r="D763" s="582"/>
      <c r="E763" s="582"/>
      <c r="F763" s="582"/>
      <c r="G763" s="582"/>
      <c r="H763"/>
    </row>
    <row r="764" spans="1:8" s="8" customFormat="1" ht="15.75" customHeight="1" hidden="1">
      <c r="A764" s="147"/>
      <c r="B764"/>
      <c r="C764"/>
      <c r="D764"/>
      <c r="E764"/>
      <c r="F764"/>
      <c r="G764"/>
      <c r="H764"/>
    </row>
    <row r="765" spans="1:8" s="8" customFormat="1" ht="31.5" customHeight="1" hidden="1">
      <c r="A765" s="147"/>
      <c r="B765" s="50" t="s">
        <v>33</v>
      </c>
      <c r="C765" s="533" t="s">
        <v>40</v>
      </c>
      <c r="D765" s="535"/>
      <c r="E765" s="50" t="s">
        <v>54</v>
      </c>
      <c r="F765" s="50" t="s">
        <v>55</v>
      </c>
      <c r="G765" s="50" t="s">
        <v>47</v>
      </c>
      <c r="H765"/>
    </row>
    <row r="766" spans="1:8" s="8" customFormat="1" ht="15.75" customHeight="1" hidden="1">
      <c r="A766" s="147"/>
      <c r="B766">
        <v>1</v>
      </c>
      <c r="C766" s="580">
        <v>2</v>
      </c>
      <c r="D766" s="583"/>
      <c r="E766">
        <v>3</v>
      </c>
      <c r="F766">
        <v>4</v>
      </c>
      <c r="G766" s="30">
        <v>5</v>
      </c>
      <c r="H766"/>
    </row>
    <row r="767" spans="1:8" s="8" customFormat="1" ht="15.75" customHeight="1" hidden="1">
      <c r="A767" s="147"/>
      <c r="B767" s="27"/>
      <c r="C767" s="619"/>
      <c r="D767" s="627"/>
      <c r="E767"/>
      <c r="F767"/>
      <c r="G767" s="123"/>
      <c r="H767"/>
    </row>
    <row r="768" spans="1:8" s="8" customFormat="1" ht="15.75" customHeight="1" hidden="1">
      <c r="A768" s="147"/>
      <c r="B768" s="50"/>
      <c r="C768" s="571"/>
      <c r="D768" s="573"/>
      <c r="E768"/>
      <c r="F768"/>
      <c r="G768" s="123"/>
      <c r="H768"/>
    </row>
    <row r="769" spans="1:8" s="8" customFormat="1" ht="15.75" customHeight="1" hidden="1">
      <c r="A769" s="147"/>
      <c r="B769" s="574" t="s">
        <v>228</v>
      </c>
      <c r="C769" s="575"/>
      <c r="D769" s="575"/>
      <c r="E769" s="575"/>
      <c r="F769" s="576"/>
      <c r="G769" s="68">
        <v>0</v>
      </c>
      <c r="H769"/>
    </row>
    <row r="770" ht="15.75" customHeight="1" hidden="1"/>
    <row r="771" spans="1:8" s="8" customFormat="1" ht="15.75" customHeight="1" hidden="1">
      <c r="A771" s="147"/>
      <c r="B771" s="559" t="s">
        <v>275</v>
      </c>
      <c r="C771" s="559"/>
      <c r="D771" s="559"/>
      <c r="E771" s="559"/>
      <c r="F771" s="559"/>
      <c r="G771" s="559"/>
      <c r="H771"/>
    </row>
    <row r="772" spans="1:8" s="8" customFormat="1" ht="15.75" customHeight="1" hidden="1">
      <c r="A772" s="147"/>
      <c r="B772"/>
      <c r="C772"/>
      <c r="D772"/>
      <c r="E772"/>
      <c r="F772"/>
      <c r="G772"/>
      <c r="H772"/>
    </row>
    <row r="773" spans="1:8" s="8" customFormat="1" ht="31.5" customHeight="1" hidden="1">
      <c r="A773" s="147"/>
      <c r="B773" s="50" t="s">
        <v>33</v>
      </c>
      <c r="C773" s="533" t="s">
        <v>40</v>
      </c>
      <c r="D773" s="535"/>
      <c r="E773" s="50" t="s">
        <v>54</v>
      </c>
      <c r="F773" s="50" t="s">
        <v>55</v>
      </c>
      <c r="G773" s="50" t="s">
        <v>47</v>
      </c>
      <c r="H773"/>
    </row>
    <row r="774" spans="1:8" s="8" customFormat="1" ht="15.75" customHeight="1" hidden="1">
      <c r="A774" s="147"/>
      <c r="B774">
        <v>1</v>
      </c>
      <c r="C774" s="580">
        <v>2</v>
      </c>
      <c r="D774" s="583"/>
      <c r="E774">
        <v>3</v>
      </c>
      <c r="F774">
        <v>4</v>
      </c>
      <c r="G774" s="30">
        <v>5</v>
      </c>
      <c r="H774"/>
    </row>
    <row r="775" spans="1:8" s="8" customFormat="1" ht="15.75" customHeight="1" hidden="1">
      <c r="A775" s="147"/>
      <c r="B775" s="27"/>
      <c r="C775" s="619"/>
      <c r="D775" s="627"/>
      <c r="E775"/>
      <c r="F775"/>
      <c r="G775" s="123"/>
      <c r="H775"/>
    </row>
    <row r="776" spans="1:8" s="8" customFormat="1" ht="15.75" customHeight="1" hidden="1">
      <c r="A776" s="147"/>
      <c r="B776" s="50"/>
      <c r="C776" s="571"/>
      <c r="D776" s="573"/>
      <c r="E776"/>
      <c r="F776"/>
      <c r="G776" s="123"/>
      <c r="H776"/>
    </row>
    <row r="777" spans="1:8" s="8" customFormat="1" ht="15.75" customHeight="1" hidden="1">
      <c r="A777" s="147"/>
      <c r="B777" s="574" t="s">
        <v>229</v>
      </c>
      <c r="C777" s="575"/>
      <c r="D777" s="575"/>
      <c r="E777" s="575"/>
      <c r="F777" s="576"/>
      <c r="G777" s="68">
        <v>0</v>
      </c>
      <c r="H777"/>
    </row>
    <row r="778" ht="15.75" customHeight="1" hidden="1"/>
    <row r="779" spans="1:8" s="8" customFormat="1" ht="15.75" customHeight="1" hidden="1">
      <c r="A779" s="147"/>
      <c r="B779" s="559" t="s">
        <v>276</v>
      </c>
      <c r="C779" s="559"/>
      <c r="D779" s="559"/>
      <c r="E779" s="559"/>
      <c r="F779" s="559"/>
      <c r="G779" s="559"/>
      <c r="H779"/>
    </row>
    <row r="780" spans="1:8" s="8" customFormat="1" ht="15.75" customHeight="1" hidden="1">
      <c r="A780" s="147"/>
      <c r="B780"/>
      <c r="C780"/>
      <c r="D780"/>
      <c r="E780"/>
      <c r="F780"/>
      <c r="G780"/>
      <c r="H780"/>
    </row>
    <row r="781" spans="1:8" s="8" customFormat="1" ht="31.5" customHeight="1" hidden="1">
      <c r="A781" s="147"/>
      <c r="B781" s="50" t="s">
        <v>33</v>
      </c>
      <c r="C781" s="533" t="s">
        <v>40</v>
      </c>
      <c r="D781" s="535"/>
      <c r="E781" s="50" t="s">
        <v>54</v>
      </c>
      <c r="F781" s="50" t="s">
        <v>55</v>
      </c>
      <c r="G781" s="50" t="s">
        <v>47</v>
      </c>
      <c r="H781"/>
    </row>
    <row r="782" spans="1:8" s="8" customFormat="1" ht="15.75" customHeight="1" hidden="1">
      <c r="A782" s="147"/>
      <c r="B782">
        <v>1</v>
      </c>
      <c r="C782" s="580">
        <v>2</v>
      </c>
      <c r="D782" s="583"/>
      <c r="E782">
        <v>3</v>
      </c>
      <c r="F782">
        <v>4</v>
      </c>
      <c r="G782" s="30">
        <v>5</v>
      </c>
      <c r="H782"/>
    </row>
    <row r="783" spans="1:8" s="8" customFormat="1" ht="15.75" customHeight="1" hidden="1">
      <c r="A783" s="147"/>
      <c r="B783" s="27"/>
      <c r="C783" s="571"/>
      <c r="D783" s="573"/>
      <c r="E783"/>
      <c r="F783"/>
      <c r="G783" s="123"/>
      <c r="H783"/>
    </row>
    <row r="784" spans="1:8" s="8" customFormat="1" ht="15.75" customHeight="1" hidden="1">
      <c r="A784" s="147"/>
      <c r="B784" s="50"/>
      <c r="C784" s="571"/>
      <c r="D784" s="573"/>
      <c r="E784"/>
      <c r="F784"/>
      <c r="G784" s="123"/>
      <c r="H784"/>
    </row>
    <row r="785" spans="1:8" s="8" customFormat="1" ht="15.75" customHeight="1" hidden="1">
      <c r="A785" s="147"/>
      <c r="B785" s="574" t="s">
        <v>230</v>
      </c>
      <c r="C785" s="575"/>
      <c r="D785" s="575"/>
      <c r="E785" s="575"/>
      <c r="F785" s="576"/>
      <c r="G785" s="68">
        <f>G783+G784</f>
        <v>0</v>
      </c>
      <c r="H785"/>
    </row>
    <row r="786" ht="15.75" customHeight="1" hidden="1"/>
    <row r="787" spans="1:8" s="8" customFormat="1" ht="15.75" customHeight="1" hidden="1">
      <c r="A787" s="147"/>
      <c r="B787" s="574" t="s">
        <v>495</v>
      </c>
      <c r="C787" s="575"/>
      <c r="D787" s="575"/>
      <c r="E787" s="575"/>
      <c r="F787" s="576"/>
      <c r="G787" s="161">
        <v>6950094.6</v>
      </c>
      <c r="H787"/>
    </row>
    <row r="788" spans="1:8" s="8" customFormat="1" ht="19.5" customHeight="1" hidden="1">
      <c r="A788" s="147"/>
      <c r="B788" s="653" t="s">
        <v>273</v>
      </c>
      <c r="C788" s="653"/>
      <c r="D788" s="653"/>
      <c r="E788" s="653"/>
      <c r="F788" s="653"/>
      <c r="G788" s="653"/>
      <c r="H788"/>
    </row>
    <row r="789" spans="1:8" s="8" customFormat="1" ht="5.25" customHeight="1" hidden="1">
      <c r="A789" s="147"/>
      <c r="B789"/>
      <c r="C789"/>
      <c r="D789"/>
      <c r="E789"/>
      <c r="F789"/>
      <c r="G789"/>
      <c r="H789"/>
    </row>
    <row r="790" spans="1:8" s="8" customFormat="1" ht="31.5" customHeight="1" hidden="1">
      <c r="A790" s="147"/>
      <c r="B790" s="50" t="s">
        <v>33</v>
      </c>
      <c r="C790" s="533" t="s">
        <v>40</v>
      </c>
      <c r="D790" s="534"/>
      <c r="E790" s="535"/>
      <c r="F790" s="50" t="s">
        <v>54</v>
      </c>
      <c r="G790" s="50" t="s">
        <v>55</v>
      </c>
      <c r="H790" s="50" t="s">
        <v>47</v>
      </c>
    </row>
    <row r="791" spans="1:8" s="8" customFormat="1" ht="15.75" customHeight="1" hidden="1">
      <c r="A791" s="147"/>
      <c r="B791" s="27">
        <v>1</v>
      </c>
      <c r="C791" s="619">
        <v>2</v>
      </c>
      <c r="D791" s="654"/>
      <c r="E791" s="627"/>
      <c r="F791">
        <v>3</v>
      </c>
      <c r="G791">
        <v>4</v>
      </c>
      <c r="H791" s="30">
        <v>5</v>
      </c>
    </row>
    <row r="792" spans="1:9" s="8" customFormat="1" ht="21" customHeight="1" hidden="1">
      <c r="A792" s="147"/>
      <c r="B792" s="27">
        <v>1</v>
      </c>
      <c r="C792" s="571" t="s">
        <v>497</v>
      </c>
      <c r="D792" s="572"/>
      <c r="E792" s="573"/>
      <c r="F792">
        <v>13</v>
      </c>
      <c r="G792">
        <f>H792/F792</f>
        <v>4876.923076923077</v>
      </c>
      <c r="H792">
        <v>63400</v>
      </c>
      <c r="I792" s="319"/>
    </row>
    <row r="793" spans="1:9" s="8" customFormat="1" ht="31.5" customHeight="1" hidden="1">
      <c r="A793" s="147"/>
      <c r="B793" s="27">
        <v>2</v>
      </c>
      <c r="C793" s="571" t="s">
        <v>498</v>
      </c>
      <c r="D793" s="572"/>
      <c r="E793" s="573"/>
      <c r="F793">
        <v>18</v>
      </c>
      <c r="G793">
        <v>2000</v>
      </c>
      <c r="H793">
        <f aca="true" t="shared" si="4" ref="H793:H798">F793*G793</f>
        <v>36000</v>
      </c>
      <c r="I793" s="319"/>
    </row>
    <row r="794" spans="1:9" s="8" customFormat="1" ht="17.25" customHeight="1" hidden="1">
      <c r="A794" s="147"/>
      <c r="B794" s="50">
        <v>3</v>
      </c>
      <c r="C794" s="571" t="s">
        <v>508</v>
      </c>
      <c r="D794" s="572"/>
      <c r="E794" s="573"/>
      <c r="F794">
        <v>3</v>
      </c>
      <c r="G794">
        <v>3000</v>
      </c>
      <c r="H794">
        <f t="shared" si="4"/>
        <v>9000</v>
      </c>
      <c r="I794" s="319"/>
    </row>
    <row r="795" spans="1:9" s="8" customFormat="1" ht="16.5" customHeight="1" hidden="1">
      <c r="A795" s="147"/>
      <c r="B795" s="50">
        <v>4</v>
      </c>
      <c r="C795" s="571" t="s">
        <v>509</v>
      </c>
      <c r="D795" s="572"/>
      <c r="E795" s="573"/>
      <c r="F795">
        <v>13</v>
      </c>
      <c r="G795">
        <v>11000</v>
      </c>
      <c r="H795">
        <f t="shared" si="4"/>
        <v>143000</v>
      </c>
      <c r="I795" s="319"/>
    </row>
    <row r="796" spans="1:9" s="8" customFormat="1" ht="8.25" customHeight="1" hidden="1">
      <c r="A796" s="147"/>
      <c r="B796" s="50">
        <v>5</v>
      </c>
      <c r="C796" s="571" t="s">
        <v>510</v>
      </c>
      <c r="D796" s="572"/>
      <c r="E796" s="573"/>
      <c r="F796">
        <v>2</v>
      </c>
      <c r="G796">
        <v>19900</v>
      </c>
      <c r="H796">
        <f t="shared" si="4"/>
        <v>39800</v>
      </c>
      <c r="I796" s="319"/>
    </row>
    <row r="797" spans="1:9" s="8" customFormat="1" ht="18.75" customHeight="1" hidden="1">
      <c r="A797" s="147"/>
      <c r="B797" s="50">
        <v>6</v>
      </c>
      <c r="C797" s="571" t="s">
        <v>511</v>
      </c>
      <c r="D797" s="572"/>
      <c r="E797" s="573"/>
      <c r="F797">
        <v>20</v>
      </c>
      <c r="G797">
        <v>11000</v>
      </c>
      <c r="H797">
        <f t="shared" si="4"/>
        <v>220000</v>
      </c>
      <c r="I797" s="319"/>
    </row>
    <row r="798" spans="1:9" s="8" customFormat="1" ht="36" customHeight="1" hidden="1">
      <c r="A798" s="147"/>
      <c r="B798" s="50">
        <v>7</v>
      </c>
      <c r="C798" s="571" t="s">
        <v>512</v>
      </c>
      <c r="D798" s="572"/>
      <c r="E798" s="573"/>
      <c r="F798">
        <v>2</v>
      </c>
      <c r="G798">
        <v>18200</v>
      </c>
      <c r="H798">
        <f t="shared" si="4"/>
        <v>36400</v>
      </c>
      <c r="I798" s="319"/>
    </row>
    <row r="799" spans="1:9" s="8" customFormat="1" ht="34.5" customHeight="1" hidden="1">
      <c r="A799" s="147"/>
      <c r="B799" s="50">
        <v>8</v>
      </c>
      <c r="C799" s="571" t="s">
        <v>513</v>
      </c>
      <c r="D799" s="572"/>
      <c r="E799" s="573"/>
      <c r="F799">
        <v>1</v>
      </c>
      <c r="G799">
        <v>6000</v>
      </c>
      <c r="H799">
        <f>F799*G799</f>
        <v>6000</v>
      </c>
      <c r="I799" s="319"/>
    </row>
    <row r="800" spans="1:9" s="8" customFormat="1" ht="15.75" customHeight="1" hidden="1">
      <c r="A800" s="147"/>
      <c r="B800" s="574" t="s">
        <v>57</v>
      </c>
      <c r="C800" s="575"/>
      <c r="D800" s="575"/>
      <c r="E800" s="575"/>
      <c r="F800" s="575"/>
      <c r="G800" s="576"/>
      <c r="H800" s="68">
        <f>SUM(H792:H799)</f>
        <v>553600</v>
      </c>
      <c r="I800" s="319"/>
    </row>
    <row r="801" spans="1:9" s="8" customFormat="1" ht="27" customHeight="1" hidden="1">
      <c r="A801" s="147"/>
      <c r="B801" s="574" t="s">
        <v>499</v>
      </c>
      <c r="C801" s="575"/>
      <c r="D801" s="575"/>
      <c r="E801" s="575"/>
      <c r="F801" s="575"/>
      <c r="G801" s="576"/>
      <c r="H801" s="68">
        <f>H800</f>
        <v>553600</v>
      </c>
      <c r="I801" s="319"/>
    </row>
    <row r="802" spans="2:8" ht="15">
      <c r="B802" s="664" t="s">
        <v>270</v>
      </c>
      <c r="C802" s="664"/>
      <c r="D802" s="664"/>
      <c r="E802" s="664"/>
      <c r="F802" s="664"/>
      <c r="G802" s="664"/>
      <c r="H802"/>
    </row>
    <row r="803" spans="2:8" ht="15">
      <c r="B803"/>
      <c r="C803"/>
      <c r="D803" s="345"/>
      <c r="E803"/>
      <c r="F803"/>
      <c r="G803"/>
      <c r="H803"/>
    </row>
    <row r="804" spans="2:8" ht="30.75">
      <c r="B804" s="333" t="s">
        <v>33</v>
      </c>
      <c r="C804" s="639" t="s">
        <v>40</v>
      </c>
      <c r="D804" s="657"/>
      <c r="E804" s="640"/>
      <c r="F804" s="333" t="s">
        <v>52</v>
      </c>
      <c r="G804" s="333" t="s">
        <v>53</v>
      </c>
      <c r="H804"/>
    </row>
    <row r="805" spans="2:8" ht="15">
      <c r="B805" s="346">
        <v>1</v>
      </c>
      <c r="C805" s="658">
        <v>2</v>
      </c>
      <c r="D805" s="659"/>
      <c r="E805" s="660"/>
      <c r="F805" s="346">
        <v>3</v>
      </c>
      <c r="G805" s="346">
        <v>4</v>
      </c>
      <c r="H805"/>
    </row>
    <row r="806" spans="2:8" ht="15.75" customHeight="1">
      <c r="B806" s="341">
        <v>1</v>
      </c>
      <c r="C806" s="661" t="s">
        <v>515</v>
      </c>
      <c r="D806" s="662"/>
      <c r="E806" s="663"/>
      <c r="F806" s="334" t="s">
        <v>313</v>
      </c>
      <c r="G806" s="347">
        <v>0</v>
      </c>
      <c r="H806" s="348"/>
    </row>
    <row r="807" spans="2:8" ht="15">
      <c r="B807" s="641" t="s">
        <v>71</v>
      </c>
      <c r="C807" s="642"/>
      <c r="D807" s="642"/>
      <c r="E807" s="642"/>
      <c r="F807" s="643"/>
      <c r="G807" s="349">
        <f>SUM(G806:G806)</f>
        <v>0</v>
      </c>
      <c r="H807"/>
    </row>
    <row r="808" spans="2:8" ht="15">
      <c r="B808" s="641" t="s">
        <v>838</v>
      </c>
      <c r="C808" s="642"/>
      <c r="D808" s="642"/>
      <c r="E808" s="642"/>
      <c r="F808" s="643"/>
      <c r="G808" s="350">
        <f>G807</f>
        <v>0</v>
      </c>
      <c r="H808" s="351"/>
    </row>
    <row r="810" spans="2:8" ht="14.25" customHeight="1">
      <c r="B810" s="131"/>
      <c r="C810" s="131"/>
      <c r="D810" s="131"/>
      <c r="E810" s="131"/>
      <c r="F810" s="148"/>
      <c r="G810" s="148"/>
      <c r="H810" s="265" t="str">
        <f>H5</f>
        <v>22.12.2023</v>
      </c>
    </row>
    <row r="811" spans="2:8" ht="15.75" customHeight="1">
      <c r="B811" s="577" t="s">
        <v>712</v>
      </c>
      <c r="C811" s="577"/>
      <c r="D811" s="577"/>
      <c r="E811" s="577"/>
      <c r="F811" s="577"/>
      <c r="G811" s="577"/>
      <c r="H811" s="577"/>
    </row>
    <row r="812" spans="2:8" ht="15.75" customHeight="1">
      <c r="B812" s="577" t="s">
        <v>13</v>
      </c>
      <c r="C812" s="577"/>
      <c r="D812" s="577"/>
      <c r="E812" s="577"/>
      <c r="F812" s="577"/>
      <c r="G812" s="577"/>
      <c r="H812" s="577"/>
    </row>
    <row r="813" spans="2:8" ht="15.75" customHeight="1">
      <c r="B813" s="591" t="s">
        <v>969</v>
      </c>
      <c r="C813" s="591"/>
      <c r="D813" s="591"/>
      <c r="E813" s="591"/>
      <c r="F813" s="591"/>
      <c r="G813" s="591"/>
      <c r="H813" s="591"/>
    </row>
    <row r="814" spans="2:8" ht="16.5" customHeight="1">
      <c r="B814" s="594" t="s">
        <v>441</v>
      </c>
      <c r="C814" s="594"/>
      <c r="D814" s="594"/>
      <c r="E814" s="594"/>
      <c r="F814" s="594"/>
      <c r="G814" s="594"/>
      <c r="H814" s="594"/>
    </row>
    <row r="815" spans="2:8" ht="15.75" customHeight="1">
      <c r="B815" s="577" t="s">
        <v>259</v>
      </c>
      <c r="C815" s="577"/>
      <c r="D815" s="577"/>
      <c r="E815" s="577"/>
      <c r="F815" s="577"/>
      <c r="G815" s="577"/>
      <c r="H815" s="577"/>
    </row>
    <row r="816" spans="2:8" ht="15.75" customHeight="1">
      <c r="B816" s="595" t="s">
        <v>219</v>
      </c>
      <c r="C816" s="595"/>
      <c r="D816" s="595"/>
      <c r="E816" s="595"/>
      <c r="F816" s="595"/>
      <c r="G816" s="595"/>
      <c r="H816" s="595"/>
    </row>
    <row r="817" spans="2:8" ht="15.75" customHeight="1">
      <c r="B817" s="577" t="s">
        <v>439</v>
      </c>
      <c r="C817" s="577"/>
      <c r="D817" s="577"/>
      <c r="E817" s="577"/>
      <c r="F817" s="577"/>
      <c r="G817" s="577"/>
      <c r="H817" s="577"/>
    </row>
    <row r="818" spans="2:8" ht="15.75" customHeight="1">
      <c r="B818" s="50" t="s">
        <v>33</v>
      </c>
      <c r="C818" s="533" t="s">
        <v>521</v>
      </c>
      <c r="D818" s="534"/>
      <c r="E818" s="534"/>
      <c r="F818" s="535"/>
      <c r="G818" s="50" t="s">
        <v>47</v>
      </c>
      <c r="H818" s="306"/>
    </row>
    <row r="819" spans="2:8" ht="15">
      <c r="B819" s="152">
        <v>1</v>
      </c>
      <c r="C819" s="592">
        <v>2</v>
      </c>
      <c r="D819" s="669"/>
      <c r="E819" s="669"/>
      <c r="F819" s="593"/>
      <c r="G819" s="152">
        <v>3</v>
      </c>
      <c r="H819" s="306"/>
    </row>
    <row r="820" spans="2:8" ht="30" customHeight="1">
      <c r="B820" s="311" t="s">
        <v>207</v>
      </c>
      <c r="C820" s="670" t="s">
        <v>522</v>
      </c>
      <c r="D820" s="671"/>
      <c r="E820" s="671"/>
      <c r="F820" s="672"/>
      <c r="G820" s="309">
        <f>G587</f>
        <v>0</v>
      </c>
      <c r="H820" s="307"/>
    </row>
    <row r="821" spans="2:8" ht="15.75" customHeight="1">
      <c r="B821" s="648" t="s">
        <v>233</v>
      </c>
      <c r="C821" s="649"/>
      <c r="D821" s="649"/>
      <c r="E821" s="649"/>
      <c r="F821" s="650"/>
      <c r="G821" s="310">
        <f>G820</f>
        <v>0</v>
      </c>
      <c r="H821"/>
    </row>
    <row r="822" spans="2:8" ht="15.75" customHeight="1">
      <c r="B822" s="648" t="s">
        <v>841</v>
      </c>
      <c r="C822" s="649"/>
      <c r="D822" s="649"/>
      <c r="E822" s="649"/>
      <c r="F822" s="650"/>
      <c r="G822" s="310">
        <f>G821</f>
        <v>0</v>
      </c>
      <c r="H822"/>
    </row>
    <row r="823" spans="2:8" ht="21.75" customHeight="1">
      <c r="B823" s="674" t="s">
        <v>837</v>
      </c>
      <c r="C823" s="674"/>
      <c r="D823" s="674"/>
      <c r="E823" s="674"/>
      <c r="F823" s="674"/>
      <c r="G823" s="674"/>
      <c r="H823" s="340"/>
    </row>
    <row r="824" spans="2:8" ht="36" customHeight="1">
      <c r="B824" s="673" t="s">
        <v>559</v>
      </c>
      <c r="C824" s="673"/>
      <c r="D824" s="673"/>
      <c r="E824" s="673"/>
      <c r="F824" s="673"/>
      <c r="G824" s="673"/>
      <c r="H824" s="673"/>
    </row>
    <row r="825" spans="2:8" ht="62.25">
      <c r="B825" s="50" t="s">
        <v>33</v>
      </c>
      <c r="C825" s="533" t="s">
        <v>21</v>
      </c>
      <c r="D825" s="534"/>
      <c r="E825" s="534"/>
      <c r="F825" s="535"/>
      <c r="G825" s="50" t="s">
        <v>22</v>
      </c>
      <c r="H825" s="50" t="s">
        <v>23</v>
      </c>
    </row>
    <row r="826" spans="2:8" ht="15">
      <c r="B826" s="118">
        <v>1</v>
      </c>
      <c r="C826" s="605">
        <v>2</v>
      </c>
      <c r="D826" s="606"/>
      <c r="E826" s="606"/>
      <c r="F826" s="607"/>
      <c r="G826" s="118">
        <v>3</v>
      </c>
      <c r="H826" s="118">
        <v>4</v>
      </c>
    </row>
    <row r="827" spans="2:8" ht="19.5" customHeight="1">
      <c r="B827" s="118">
        <v>1</v>
      </c>
      <c r="C827" s="609" t="s">
        <v>34</v>
      </c>
      <c r="D827" s="610"/>
      <c r="E827" s="610"/>
      <c r="F827" s="611"/>
      <c r="G827" s="118" t="s">
        <v>35</v>
      </c>
      <c r="H827" s="159">
        <f>SUM(H828:H830)</f>
        <v>0</v>
      </c>
    </row>
    <row r="828" spans="2:8" ht="15">
      <c r="B828" s="118" t="s">
        <v>24</v>
      </c>
      <c r="C828" s="609" t="s">
        <v>36</v>
      </c>
      <c r="D828" s="610"/>
      <c r="E828" s="610"/>
      <c r="F828" s="611"/>
      <c r="G828" s="159">
        <f>G822</f>
        <v>0</v>
      </c>
      <c r="H828" s="159">
        <f>ROUNDDOWN(G828*22%,0)</f>
        <v>0</v>
      </c>
    </row>
    <row r="829" spans="2:8" ht="15.75" customHeight="1" hidden="1">
      <c r="B829" s="160" t="s">
        <v>25</v>
      </c>
      <c r="C829" s="609" t="s">
        <v>37</v>
      </c>
      <c r="D829" s="610"/>
      <c r="E829" s="611"/>
      <c r="F829" s="312"/>
      <c r="G829" s="159"/>
      <c r="H829" s="159"/>
    </row>
    <row r="830" spans="2:8" ht="50.25" customHeight="1" hidden="1">
      <c r="B830" s="118" t="s">
        <v>26</v>
      </c>
      <c r="C830" s="609" t="s">
        <v>77</v>
      </c>
      <c r="D830" s="610"/>
      <c r="E830" s="611"/>
      <c r="F830" s="312"/>
      <c r="G830" s="159"/>
      <c r="H830" s="159"/>
    </row>
    <row r="831" spans="2:8" ht="33" customHeight="1">
      <c r="B831" s="118">
        <v>2</v>
      </c>
      <c r="C831" s="609" t="s">
        <v>27</v>
      </c>
      <c r="D831" s="610"/>
      <c r="E831" s="610"/>
      <c r="F831" s="611"/>
      <c r="G831" s="118" t="s">
        <v>35</v>
      </c>
      <c r="H831" s="159">
        <f>SUM(H832:H836)</f>
        <v>0</v>
      </c>
    </row>
    <row r="832" spans="2:8" ht="34.5" customHeight="1">
      <c r="B832" s="118" t="s">
        <v>28</v>
      </c>
      <c r="C832" s="609" t="s">
        <v>78</v>
      </c>
      <c r="D832" s="610"/>
      <c r="E832" s="610"/>
      <c r="F832" s="611"/>
      <c r="G832" s="159">
        <f>G828</f>
        <v>0</v>
      </c>
      <c r="H832" s="159">
        <f>ROUNDUP(G832*2.9%,0)</f>
        <v>0</v>
      </c>
    </row>
    <row r="833" spans="2:8" ht="33" customHeight="1" hidden="1">
      <c r="B833" s="118" t="s">
        <v>29</v>
      </c>
      <c r="C833" s="609" t="s">
        <v>79</v>
      </c>
      <c r="D833" s="610"/>
      <c r="E833" s="611"/>
      <c r="F833" s="312"/>
      <c r="G833" s="159"/>
      <c r="H833" s="159"/>
    </row>
    <row r="834" spans="2:8" ht="33" customHeight="1">
      <c r="B834" s="118" t="s">
        <v>29</v>
      </c>
      <c r="C834" s="609" t="s">
        <v>76</v>
      </c>
      <c r="D834" s="610"/>
      <c r="E834" s="610"/>
      <c r="F834" s="611"/>
      <c r="G834" s="159">
        <f>G832</f>
        <v>0</v>
      </c>
      <c r="H834" s="159">
        <f>ROUNDUP(G834*0.2%,0)</f>
        <v>0</v>
      </c>
    </row>
    <row r="835" spans="2:8" ht="46.5" customHeight="1" hidden="1">
      <c r="B835" s="118" t="s">
        <v>31</v>
      </c>
      <c r="C835" s="609" t="s">
        <v>80</v>
      </c>
      <c r="D835" s="610"/>
      <c r="E835" s="611"/>
      <c r="F835" s="312"/>
      <c r="G835" s="159"/>
      <c r="H835" s="159"/>
    </row>
    <row r="836" spans="2:8" ht="45" customHeight="1" hidden="1">
      <c r="B836" s="118" t="s">
        <v>32</v>
      </c>
      <c r="C836" s="609" t="s">
        <v>80</v>
      </c>
      <c r="D836" s="610"/>
      <c r="E836" s="611"/>
      <c r="F836" s="312"/>
      <c r="G836" s="159"/>
      <c r="H836" s="159"/>
    </row>
    <row r="837" spans="2:8" ht="38.25" customHeight="1">
      <c r="B837" s="118" t="s">
        <v>38</v>
      </c>
      <c r="C837" s="609" t="s">
        <v>39</v>
      </c>
      <c r="D837" s="610"/>
      <c r="E837" s="610"/>
      <c r="F837" s="611"/>
      <c r="G837" s="159">
        <f>G834</f>
        <v>0</v>
      </c>
      <c r="H837" s="159">
        <f>ROUNDDOWN(G837*5.1%,0)</f>
        <v>0</v>
      </c>
    </row>
    <row r="838" spans="2:8" ht="15">
      <c r="B838" s="574" t="s">
        <v>72</v>
      </c>
      <c r="C838" s="575"/>
      <c r="D838" s="575"/>
      <c r="E838" s="575"/>
      <c r="F838" s="575"/>
      <c r="G838" s="576"/>
      <c r="H838" s="161">
        <f>H827+H831+H837</f>
        <v>0</v>
      </c>
    </row>
    <row r="839" spans="2:8" ht="15">
      <c r="B839" s="574" t="s">
        <v>839</v>
      </c>
      <c r="C839" s="575"/>
      <c r="D839" s="575"/>
      <c r="E839" s="575"/>
      <c r="F839" s="575"/>
      <c r="G839" s="576"/>
      <c r="H839" s="161">
        <f>H838</f>
        <v>0</v>
      </c>
    </row>
    <row r="841" spans="2:8" ht="34.5" customHeight="1">
      <c r="B841" s="559" t="s">
        <v>264</v>
      </c>
      <c r="C841" s="559"/>
      <c r="D841" s="559"/>
      <c r="E841" s="559"/>
      <c r="F841" s="559"/>
      <c r="G841" s="559"/>
      <c r="H841" s="168"/>
    </row>
    <row r="842" spans="2:8" ht="15" customHeight="1">
      <c r="B842" s="668" t="s">
        <v>551</v>
      </c>
      <c r="C842" s="668"/>
      <c r="D842" s="668"/>
      <c r="E842" s="668"/>
      <c r="F842" s="668"/>
      <c r="G842" s="668"/>
      <c r="H842" s="668"/>
    </row>
    <row r="843" spans="2:8" ht="3" customHeight="1">
      <c r="B843" s="577" t="s">
        <v>439</v>
      </c>
      <c r="C843" s="577"/>
      <c r="D843" s="577"/>
      <c r="E843" s="577"/>
      <c r="F843" s="577"/>
      <c r="G843" s="577"/>
      <c r="H843" s="577"/>
    </row>
    <row r="844" ht="10.5" customHeight="1" hidden="1"/>
    <row r="845" spans="2:8" ht="15.75" customHeight="1" hidden="1">
      <c r="B845" s="50" t="s">
        <v>33</v>
      </c>
      <c r="C845" s="533" t="s">
        <v>521</v>
      </c>
      <c r="D845" s="534"/>
      <c r="E845" s="534"/>
      <c r="F845" s="535"/>
      <c r="G845" s="50" t="s">
        <v>47</v>
      </c>
      <c r="H845" s="306"/>
    </row>
    <row r="846" spans="2:8" ht="15.75" customHeight="1" hidden="1">
      <c r="B846" s="152">
        <v>1</v>
      </c>
      <c r="C846" s="592">
        <v>2</v>
      </c>
      <c r="D846" s="669"/>
      <c r="E846" s="669"/>
      <c r="F846" s="593"/>
      <c r="G846" s="152">
        <v>3</v>
      </c>
      <c r="H846" s="306"/>
    </row>
    <row r="847" spans="2:8" ht="30" customHeight="1" hidden="1">
      <c r="B847" s="311" t="s">
        <v>207</v>
      </c>
      <c r="C847" s="670" t="s">
        <v>522</v>
      </c>
      <c r="D847" s="671"/>
      <c r="E847" s="671"/>
      <c r="F847" s="672"/>
      <c r="G847" s="309">
        <v>0</v>
      </c>
      <c r="H847" s="307"/>
    </row>
    <row r="848" spans="2:8" ht="15.75" customHeight="1" hidden="1">
      <c r="B848" s="648" t="s">
        <v>233</v>
      </c>
      <c r="C848" s="649"/>
      <c r="D848" s="649"/>
      <c r="E848" s="649"/>
      <c r="F848" s="650"/>
      <c r="G848" s="310">
        <f>G847</f>
        <v>0</v>
      </c>
      <c r="H848" s="186"/>
    </row>
    <row r="849" spans="2:8" ht="15.75" customHeight="1" hidden="1">
      <c r="B849" s="648" t="s">
        <v>524</v>
      </c>
      <c r="C849" s="649"/>
      <c r="D849" s="649"/>
      <c r="E849" s="649"/>
      <c r="F849" s="650"/>
      <c r="G849" s="310">
        <f>G848</f>
        <v>0</v>
      </c>
      <c r="H849" s="186"/>
    </row>
    <row r="850" spans="2:8" ht="6.75" customHeight="1" hidden="1">
      <c r="B850" s="305"/>
      <c r="C850" s="305"/>
      <c r="D850" s="305"/>
      <c r="E850" s="305"/>
      <c r="F850" s="305"/>
      <c r="G850" s="308"/>
      <c r="H850" s="186"/>
    </row>
    <row r="851" spans="2:8" ht="63" customHeight="1" hidden="1">
      <c r="B851" s="577" t="s">
        <v>262</v>
      </c>
      <c r="C851" s="577"/>
      <c r="D851" s="577"/>
      <c r="E851" s="577"/>
      <c r="F851" s="577"/>
      <c r="G851" s="577"/>
      <c r="H851" s="166"/>
    </row>
    <row r="852" ht="6.75" customHeight="1" hidden="1"/>
    <row r="853" spans="2:8" ht="9" customHeight="1" hidden="1">
      <c r="B853" s="50" t="s">
        <v>33</v>
      </c>
      <c r="C853" s="533" t="s">
        <v>21</v>
      </c>
      <c r="D853" s="534"/>
      <c r="E853" s="534"/>
      <c r="F853" s="535"/>
      <c r="G853" s="50" t="s">
        <v>22</v>
      </c>
      <c r="H853" s="50" t="s">
        <v>23</v>
      </c>
    </row>
    <row r="854" spans="2:8" ht="15.75" customHeight="1" hidden="1">
      <c r="B854" s="118">
        <v>1</v>
      </c>
      <c r="C854" s="605">
        <v>2</v>
      </c>
      <c r="D854" s="606"/>
      <c r="E854" s="606"/>
      <c r="F854" s="607"/>
      <c r="G854" s="118">
        <v>3</v>
      </c>
      <c r="H854" s="118">
        <v>4</v>
      </c>
    </row>
    <row r="855" spans="2:8" ht="22.5" customHeight="1" hidden="1">
      <c r="B855" s="118">
        <v>1</v>
      </c>
      <c r="C855" s="609" t="s">
        <v>34</v>
      </c>
      <c r="D855" s="610"/>
      <c r="E855" s="610"/>
      <c r="F855" s="611"/>
      <c r="G855" s="118" t="s">
        <v>35</v>
      </c>
      <c r="H855" s="159">
        <f>SUM(H856:H858)</f>
        <v>0</v>
      </c>
    </row>
    <row r="856" spans="2:8" ht="15.75" customHeight="1" hidden="1">
      <c r="B856" s="118" t="s">
        <v>24</v>
      </c>
      <c r="C856" s="609" t="s">
        <v>36</v>
      </c>
      <c r="D856" s="610"/>
      <c r="E856" s="610"/>
      <c r="F856" s="611"/>
      <c r="G856" s="159">
        <f>G849</f>
        <v>0</v>
      </c>
      <c r="H856" s="159">
        <f>ROUNDDOWN(G856*22%,0)</f>
        <v>0</v>
      </c>
    </row>
    <row r="857" spans="2:8" ht="15.75" customHeight="1" hidden="1">
      <c r="B857" s="160" t="s">
        <v>25</v>
      </c>
      <c r="C857" s="609" t="s">
        <v>37</v>
      </c>
      <c r="D857" s="610"/>
      <c r="E857" s="611"/>
      <c r="F857" s="312"/>
      <c r="G857" s="159"/>
      <c r="H857" s="159"/>
    </row>
    <row r="858" spans="2:8" ht="50.25" customHeight="1" hidden="1">
      <c r="B858" s="118" t="s">
        <v>26</v>
      </c>
      <c r="C858" s="609" t="s">
        <v>77</v>
      </c>
      <c r="D858" s="610"/>
      <c r="E858" s="611"/>
      <c r="F858" s="312"/>
      <c r="G858" s="159"/>
      <c r="H858" s="159"/>
    </row>
    <row r="859" spans="2:8" ht="33" customHeight="1" hidden="1">
      <c r="B859" s="118">
        <v>2</v>
      </c>
      <c r="C859" s="609" t="s">
        <v>27</v>
      </c>
      <c r="D859" s="610"/>
      <c r="E859" s="610"/>
      <c r="F859" s="611"/>
      <c r="G859" s="118" t="s">
        <v>35</v>
      </c>
      <c r="H859" s="159">
        <f>SUM(H860:H864)</f>
        <v>0</v>
      </c>
    </row>
    <row r="860" spans="2:8" ht="29.25" customHeight="1" hidden="1">
      <c r="B860" s="118" t="s">
        <v>28</v>
      </c>
      <c r="C860" s="609" t="s">
        <v>78</v>
      </c>
      <c r="D860" s="610"/>
      <c r="E860" s="610"/>
      <c r="F860" s="611"/>
      <c r="G860" s="159">
        <f>G856</f>
        <v>0</v>
      </c>
      <c r="H860" s="159">
        <f>ROUNDUP(G860*2.9%,0)</f>
        <v>0</v>
      </c>
    </row>
    <row r="861" spans="2:8" ht="33" customHeight="1" hidden="1">
      <c r="B861" s="118" t="s">
        <v>29</v>
      </c>
      <c r="C861" s="609" t="s">
        <v>79</v>
      </c>
      <c r="D861" s="610"/>
      <c r="E861" s="611"/>
      <c r="F861" s="312"/>
      <c r="G861" s="159"/>
      <c r="H861" s="159"/>
    </row>
    <row r="862" spans="2:8" ht="21" customHeight="1" hidden="1">
      <c r="B862" s="118" t="s">
        <v>29</v>
      </c>
      <c r="C862" s="609" t="s">
        <v>76</v>
      </c>
      <c r="D862" s="610"/>
      <c r="E862" s="610"/>
      <c r="F862" s="611"/>
      <c r="G862" s="159">
        <f>G860</f>
        <v>0</v>
      </c>
      <c r="H862" s="159">
        <f>ROUNDUP(G862*0.2%,0)</f>
        <v>0</v>
      </c>
    </row>
    <row r="863" spans="2:8" ht="46.5" customHeight="1" hidden="1">
      <c r="B863" s="118" t="s">
        <v>31</v>
      </c>
      <c r="C863" s="609" t="s">
        <v>80</v>
      </c>
      <c r="D863" s="610"/>
      <c r="E863" s="611"/>
      <c r="F863" s="312"/>
      <c r="G863" s="159"/>
      <c r="H863" s="159"/>
    </row>
    <row r="864" spans="2:8" ht="45" customHeight="1" hidden="1">
      <c r="B864" s="118" t="s">
        <v>32</v>
      </c>
      <c r="C864" s="609" t="s">
        <v>80</v>
      </c>
      <c r="D864" s="610"/>
      <c r="E864" s="611"/>
      <c r="F864" s="312"/>
      <c r="G864" s="159"/>
      <c r="H864" s="159"/>
    </row>
    <row r="865" spans="2:8" ht="34.5" customHeight="1" hidden="1">
      <c r="B865" s="118" t="s">
        <v>38</v>
      </c>
      <c r="C865" s="609" t="s">
        <v>39</v>
      </c>
      <c r="D865" s="610"/>
      <c r="E865" s="610"/>
      <c r="F865" s="611"/>
      <c r="G865" s="159">
        <f>G862</f>
        <v>0</v>
      </c>
      <c r="H865" s="159">
        <f>ROUNDDOWN(G865*5.1%,0)</f>
        <v>0</v>
      </c>
    </row>
    <row r="866" spans="2:8" ht="15.75" customHeight="1" hidden="1">
      <c r="B866" s="574" t="s">
        <v>72</v>
      </c>
      <c r="C866" s="575"/>
      <c r="D866" s="575"/>
      <c r="E866" s="575"/>
      <c r="F866" s="575"/>
      <c r="G866" s="576"/>
      <c r="H866" s="161">
        <f>H855+H859+H865</f>
        <v>0</v>
      </c>
    </row>
    <row r="867" spans="2:8" ht="15.75" customHeight="1" hidden="1">
      <c r="B867" s="574" t="s">
        <v>523</v>
      </c>
      <c r="C867" s="575"/>
      <c r="D867" s="575"/>
      <c r="E867" s="575"/>
      <c r="F867" s="575"/>
      <c r="G867" s="576"/>
      <c r="H867" s="161">
        <f>H866</f>
        <v>0</v>
      </c>
    </row>
    <row r="868" spans="2:8" ht="7.5" customHeight="1" hidden="1">
      <c r="B868" s="150"/>
      <c r="C868" s="150"/>
      <c r="D868" s="150"/>
      <c r="E868" s="150"/>
      <c r="F868" s="150"/>
      <c r="G868" s="150"/>
      <c r="H868" s="150"/>
    </row>
    <row r="869" spans="2:8" ht="15.75" customHeight="1" hidden="1">
      <c r="B869" s="577" t="s">
        <v>259</v>
      </c>
      <c r="C869" s="577"/>
      <c r="D869" s="577"/>
      <c r="E869" s="577"/>
      <c r="F869" s="577"/>
      <c r="G869" s="577"/>
      <c r="H869" s="577"/>
    </row>
    <row r="870" ht="15.75" customHeight="1" hidden="1"/>
    <row r="871" spans="2:8" ht="15.75" customHeight="1" hidden="1">
      <c r="B871" s="595" t="s">
        <v>219</v>
      </c>
      <c r="C871" s="595"/>
      <c r="D871" s="595"/>
      <c r="E871" s="595"/>
      <c r="F871" s="595"/>
      <c r="G871" s="595"/>
      <c r="H871" s="595"/>
    </row>
    <row r="872" spans="2:8" ht="15.75" customHeight="1" hidden="1">
      <c r="B872" s="577" t="s">
        <v>261</v>
      </c>
      <c r="C872" s="577"/>
      <c r="D872" s="577"/>
      <c r="E872" s="577"/>
      <c r="F872" s="577"/>
      <c r="G872" s="577"/>
      <c r="H872" s="577"/>
    </row>
    <row r="873" ht="15" hidden="1"/>
    <row r="874" spans="2:8" ht="48" customHeight="1" hidden="1">
      <c r="B874" s="592" t="s">
        <v>14</v>
      </c>
      <c r="C874" s="593"/>
      <c r="D874" s="592" t="s">
        <v>19</v>
      </c>
      <c r="E874" s="593"/>
      <c r="F874" s="592" t="s">
        <v>20</v>
      </c>
      <c r="G874" s="593"/>
      <c r="H874" s="596" t="s">
        <v>15</v>
      </c>
    </row>
    <row r="875" spans="2:8" ht="15" hidden="1">
      <c r="B875" s="152" t="s">
        <v>16</v>
      </c>
      <c r="C875" s="152" t="s">
        <v>17</v>
      </c>
      <c r="D875" s="152" t="s">
        <v>16</v>
      </c>
      <c r="E875" s="152" t="s">
        <v>17</v>
      </c>
      <c r="F875" s="152" t="s">
        <v>16</v>
      </c>
      <c r="G875" s="152" t="s">
        <v>17</v>
      </c>
      <c r="H875" s="597"/>
    </row>
    <row r="876" spans="2:8" ht="15" hidden="1">
      <c r="B876" s="152">
        <v>1</v>
      </c>
      <c r="C876" s="152">
        <v>2</v>
      </c>
      <c r="D876" s="152">
        <v>3</v>
      </c>
      <c r="E876" s="152">
        <v>4</v>
      </c>
      <c r="F876" s="152">
        <v>5</v>
      </c>
      <c r="G876" s="152">
        <v>6</v>
      </c>
      <c r="H876" s="153">
        <v>7</v>
      </c>
    </row>
    <row r="877" spans="2:8" ht="17.25" customHeight="1" hidden="1">
      <c r="B877" s="154"/>
      <c r="C877" s="154"/>
      <c r="D877" s="155"/>
      <c r="E877" s="155"/>
      <c r="F877" s="155"/>
      <c r="G877" s="155"/>
      <c r="H877" s="156"/>
    </row>
    <row r="878" spans="2:8" ht="15.75" customHeight="1" hidden="1">
      <c r="B878" s="598" t="s">
        <v>233</v>
      </c>
      <c r="C878" s="599"/>
      <c r="D878" s="599"/>
      <c r="E878" s="599"/>
      <c r="F878" s="599"/>
      <c r="G878" s="600"/>
      <c r="H878" s="157">
        <f>H877</f>
        <v>0</v>
      </c>
    </row>
    <row r="879" spans="2:8" ht="15" hidden="1">
      <c r="B879" s="185"/>
      <c r="C879" s="185"/>
      <c r="D879" s="185"/>
      <c r="E879" s="185"/>
      <c r="F879" s="185"/>
      <c r="G879" s="185"/>
      <c r="H879" s="186"/>
    </row>
    <row r="880" spans="1:8" s="8" customFormat="1" ht="18" customHeight="1" hidden="1">
      <c r="A880" s="147"/>
      <c r="B880" s="582" t="s">
        <v>260</v>
      </c>
      <c r="C880" s="582"/>
      <c r="D880" s="582"/>
      <c r="E880" s="582"/>
      <c r="F880" s="582"/>
      <c r="G880" s="582"/>
      <c r="H880" s="163"/>
    </row>
    <row r="881" spans="1:8" s="8" customFormat="1" ht="15" hidden="1">
      <c r="A881" s="147"/>
      <c r="B881" s="163"/>
      <c r="C881" s="163"/>
      <c r="D881" s="164"/>
      <c r="E881" s="163"/>
      <c r="F881" s="163"/>
      <c r="G881" s="163"/>
      <c r="H881" s="163"/>
    </row>
    <row r="882" spans="1:8" s="8" customFormat="1" ht="30.75" hidden="1">
      <c r="A882" s="147"/>
      <c r="B882" s="50" t="s">
        <v>33</v>
      </c>
      <c r="C882" s="533" t="s">
        <v>40</v>
      </c>
      <c r="D882" s="535"/>
      <c r="E882" s="50" t="s">
        <v>45</v>
      </c>
      <c r="F882" s="50" t="s">
        <v>46</v>
      </c>
      <c r="G882" s="50" t="s">
        <v>47</v>
      </c>
      <c r="H882" s="163"/>
    </row>
    <row r="883" spans="1:8" s="8" customFormat="1" ht="15" hidden="1">
      <c r="A883" s="147"/>
      <c r="B883" s="50">
        <v>1</v>
      </c>
      <c r="C883" s="533">
        <v>2</v>
      </c>
      <c r="D883" s="535"/>
      <c r="E883" s="50">
        <v>2</v>
      </c>
      <c r="F883" s="50">
        <v>4</v>
      </c>
      <c r="G883" s="50">
        <v>5</v>
      </c>
      <c r="H883" s="163"/>
    </row>
    <row r="884" spans="1:8" s="8" customFormat="1" ht="15" hidden="1">
      <c r="A884" s="147"/>
      <c r="B884" s="50"/>
      <c r="C884" s="533"/>
      <c r="D884" s="535"/>
      <c r="E884" s="50"/>
      <c r="F884" s="50"/>
      <c r="G884" s="50"/>
      <c r="H884" s="163"/>
    </row>
    <row r="885" spans="1:8" s="8" customFormat="1" ht="17.25" customHeight="1" hidden="1">
      <c r="A885" s="147"/>
      <c r="B885" s="50"/>
      <c r="C885" s="609"/>
      <c r="D885" s="611"/>
      <c r="E885" s="50"/>
      <c r="F885" s="169"/>
      <c r="G885" s="123"/>
      <c r="H885" s="163"/>
    </row>
    <row r="886" spans="1:8" s="8" customFormat="1" ht="15.75" customHeight="1" hidden="1">
      <c r="A886" s="147"/>
      <c r="B886" s="585" t="s">
        <v>222</v>
      </c>
      <c r="C886" s="586"/>
      <c r="D886" s="587"/>
      <c r="E886" s="50" t="s">
        <v>35</v>
      </c>
      <c r="F886" s="170" t="s">
        <v>35</v>
      </c>
      <c r="G886" s="122">
        <f>SUM(G885:G885)</f>
        <v>0</v>
      </c>
      <c r="H886" s="163"/>
    </row>
    <row r="887" spans="2:8" ht="15" hidden="1">
      <c r="B887" s="185"/>
      <c r="C887" s="185"/>
      <c r="D887" s="185"/>
      <c r="E887" s="185"/>
      <c r="F887" s="185"/>
      <c r="G887" s="185"/>
      <c r="H887" s="186"/>
    </row>
    <row r="888" spans="2:8" ht="63" customHeight="1" hidden="1">
      <c r="B888" s="577" t="s">
        <v>262</v>
      </c>
      <c r="C888" s="577"/>
      <c r="D888" s="577"/>
      <c r="E888" s="577"/>
      <c r="F888" s="577"/>
      <c r="G888" s="577"/>
      <c r="H888" s="166"/>
    </row>
    <row r="889" ht="15" hidden="1"/>
    <row r="890" spans="2:7" ht="60" customHeight="1" hidden="1">
      <c r="B890" s="50" t="s">
        <v>33</v>
      </c>
      <c r="C890" s="533" t="s">
        <v>21</v>
      </c>
      <c r="D890" s="534"/>
      <c r="E890" s="535"/>
      <c r="F890" s="50" t="s">
        <v>22</v>
      </c>
      <c r="G890" s="50" t="s">
        <v>23</v>
      </c>
    </row>
    <row r="891" spans="2:7" ht="15.75" customHeight="1" hidden="1">
      <c r="B891" s="118">
        <v>1</v>
      </c>
      <c r="C891" s="605">
        <v>2</v>
      </c>
      <c r="D891" s="606"/>
      <c r="E891" s="607"/>
      <c r="F891" s="118">
        <v>3</v>
      </c>
      <c r="G891" s="118">
        <v>4</v>
      </c>
    </row>
    <row r="892" spans="2:7" ht="32.25" customHeight="1" hidden="1">
      <c r="B892" s="118">
        <v>1</v>
      </c>
      <c r="C892" s="609" t="s">
        <v>34</v>
      </c>
      <c r="D892" s="610"/>
      <c r="E892" s="611"/>
      <c r="F892" s="118" t="s">
        <v>35</v>
      </c>
      <c r="G892" s="159">
        <f>SUM(G893:G895)</f>
        <v>0</v>
      </c>
    </row>
    <row r="893" spans="2:7" ht="15.75" customHeight="1" hidden="1">
      <c r="B893" s="118" t="s">
        <v>24</v>
      </c>
      <c r="C893" s="609" t="s">
        <v>36</v>
      </c>
      <c r="D893" s="610"/>
      <c r="E893" s="611"/>
      <c r="F893" s="159">
        <f>H877</f>
        <v>0</v>
      </c>
      <c r="G893" s="159">
        <f>F893*22%</f>
        <v>0</v>
      </c>
    </row>
    <row r="894" spans="2:7" ht="15.75" customHeight="1" hidden="1">
      <c r="B894" s="160" t="s">
        <v>25</v>
      </c>
      <c r="C894" s="609" t="s">
        <v>37</v>
      </c>
      <c r="D894" s="610"/>
      <c r="E894" s="611"/>
      <c r="F894" s="159"/>
      <c r="G894" s="159"/>
    </row>
    <row r="895" spans="2:7" ht="50.25" customHeight="1" hidden="1">
      <c r="B895" s="118" t="s">
        <v>26</v>
      </c>
      <c r="C895" s="609" t="s">
        <v>77</v>
      </c>
      <c r="D895" s="610"/>
      <c r="E895" s="611"/>
      <c r="F895" s="159"/>
      <c r="G895" s="159"/>
    </row>
    <row r="896" spans="2:7" ht="33" customHeight="1" hidden="1">
      <c r="B896" s="118">
        <v>2</v>
      </c>
      <c r="C896" s="609" t="s">
        <v>27</v>
      </c>
      <c r="D896" s="610"/>
      <c r="E896" s="611"/>
      <c r="F896" s="118" t="s">
        <v>35</v>
      </c>
      <c r="G896" s="159">
        <f>SUM(G897:G901)</f>
        <v>0</v>
      </c>
    </row>
    <row r="897" spans="2:7" ht="45.75" customHeight="1" hidden="1">
      <c r="B897" s="118" t="s">
        <v>28</v>
      </c>
      <c r="C897" s="609" t="s">
        <v>78</v>
      </c>
      <c r="D897" s="610"/>
      <c r="E897" s="611"/>
      <c r="F897" s="159">
        <f>F893</f>
        <v>0</v>
      </c>
      <c r="G897" s="159">
        <f>F897*2.9%</f>
        <v>0</v>
      </c>
    </row>
    <row r="898" spans="2:7" ht="33" customHeight="1" hidden="1">
      <c r="B898" s="118" t="s">
        <v>29</v>
      </c>
      <c r="C898" s="609" t="s">
        <v>79</v>
      </c>
      <c r="D898" s="610"/>
      <c r="E898" s="611"/>
      <c r="F898" s="159"/>
      <c r="G898" s="159"/>
    </row>
    <row r="899" spans="2:7" ht="48" customHeight="1" hidden="1">
      <c r="B899" s="118" t="s">
        <v>30</v>
      </c>
      <c r="C899" s="609" t="s">
        <v>76</v>
      </c>
      <c r="D899" s="610"/>
      <c r="E899" s="611"/>
      <c r="F899" s="159">
        <f>F897</f>
        <v>0</v>
      </c>
      <c r="G899" s="159">
        <f>F899*0.2%</f>
        <v>0</v>
      </c>
    </row>
    <row r="900" spans="2:7" ht="46.5" customHeight="1" hidden="1">
      <c r="B900" s="118" t="s">
        <v>31</v>
      </c>
      <c r="C900" s="609" t="s">
        <v>80</v>
      </c>
      <c r="D900" s="610"/>
      <c r="E900" s="611"/>
      <c r="F900" s="159"/>
      <c r="G900" s="159"/>
    </row>
    <row r="901" spans="2:7" ht="45" customHeight="1" hidden="1">
      <c r="B901" s="118" t="s">
        <v>32</v>
      </c>
      <c r="C901" s="609" t="s">
        <v>80</v>
      </c>
      <c r="D901" s="610"/>
      <c r="E901" s="611"/>
      <c r="F901" s="159"/>
      <c r="G901" s="159"/>
    </row>
    <row r="902" spans="2:7" ht="38.25" customHeight="1" hidden="1">
      <c r="B902" s="118" t="s">
        <v>38</v>
      </c>
      <c r="C902" s="609" t="s">
        <v>39</v>
      </c>
      <c r="D902" s="610"/>
      <c r="E902" s="611"/>
      <c r="F902" s="159">
        <f>F899</f>
        <v>0</v>
      </c>
      <c r="G902" s="159">
        <f>F902*5.1%</f>
        <v>0</v>
      </c>
    </row>
    <row r="903" spans="2:7" ht="15.75" customHeight="1" hidden="1">
      <c r="B903" s="574" t="s">
        <v>72</v>
      </c>
      <c r="C903" s="575"/>
      <c r="D903" s="575"/>
      <c r="E903" s="576"/>
      <c r="F903" s="118" t="s">
        <v>35</v>
      </c>
      <c r="G903" s="161">
        <f>G892+G896+G902</f>
        <v>0</v>
      </c>
    </row>
    <row r="904" ht="15" hidden="1"/>
    <row r="905" spans="2:7" ht="15.75" customHeight="1" hidden="1">
      <c r="B905" s="559" t="s">
        <v>263</v>
      </c>
      <c r="C905" s="559"/>
      <c r="D905" s="559"/>
      <c r="E905" s="559"/>
      <c r="F905" s="559"/>
      <c r="G905" s="559"/>
    </row>
    <row r="906" spans="2:7" ht="15" hidden="1">
      <c r="B906" s="163"/>
      <c r="C906" s="163"/>
      <c r="D906" s="163"/>
      <c r="E906" s="163"/>
      <c r="F906" s="163"/>
      <c r="G906" s="164"/>
    </row>
    <row r="907" spans="2:7" ht="15.75" customHeight="1" hidden="1">
      <c r="B907" s="608" t="s">
        <v>220</v>
      </c>
      <c r="C907" s="608"/>
      <c r="D907" s="608"/>
      <c r="E907" s="608"/>
      <c r="F907" s="608"/>
      <c r="G907" s="608"/>
    </row>
    <row r="908" spans="2:7" ht="15" hidden="1">
      <c r="B908" s="163"/>
      <c r="C908" s="165"/>
      <c r="D908" s="163"/>
      <c r="E908" s="163"/>
      <c r="F908" s="163"/>
      <c r="G908" s="163"/>
    </row>
    <row r="909" spans="2:7" ht="78" hidden="1">
      <c r="B909" s="50" t="s">
        <v>33</v>
      </c>
      <c r="C909" s="530" t="s">
        <v>40</v>
      </c>
      <c r="D909" s="530"/>
      <c r="E909" s="50" t="s">
        <v>41</v>
      </c>
      <c r="F909" s="50" t="s">
        <v>42</v>
      </c>
      <c r="G909" s="50" t="s">
        <v>43</v>
      </c>
    </row>
    <row r="910" spans="2:7" ht="15" hidden="1">
      <c r="B910" s="50">
        <v>1</v>
      </c>
      <c r="C910" s="530">
        <v>2</v>
      </c>
      <c r="D910" s="530"/>
      <c r="E910" s="50">
        <v>3</v>
      </c>
      <c r="F910" s="50">
        <v>4</v>
      </c>
      <c r="G910" s="50">
        <v>5</v>
      </c>
    </row>
    <row r="911" spans="2:7" ht="15" hidden="1">
      <c r="B911" s="50"/>
      <c r="C911" s="609"/>
      <c r="D911" s="611"/>
      <c r="E911" s="170"/>
      <c r="F911" s="50"/>
      <c r="G911" s="123"/>
    </row>
    <row r="912" spans="2:7" ht="17.25" customHeight="1" hidden="1">
      <c r="B912" s="50"/>
      <c r="C912" s="567"/>
      <c r="D912" s="567"/>
      <c r="E912" s="123"/>
      <c r="F912" s="50"/>
      <c r="G912" s="123"/>
    </row>
    <row r="913" spans="1:8" s="7" customFormat="1" ht="15.75" customHeight="1" hidden="1">
      <c r="A913" s="166"/>
      <c r="B913" s="585" t="s">
        <v>223</v>
      </c>
      <c r="C913" s="586"/>
      <c r="D913" s="587"/>
      <c r="E913" s="25"/>
      <c r="F913" s="122"/>
      <c r="G913" s="167">
        <f>SUM(G911:G912)</f>
        <v>0</v>
      </c>
      <c r="H913" s="166"/>
    </row>
    <row r="914" ht="15" hidden="1"/>
    <row r="915" spans="2:8" ht="15.75" customHeight="1" hidden="1">
      <c r="B915" s="559" t="s">
        <v>264</v>
      </c>
      <c r="C915" s="559"/>
      <c r="D915" s="559"/>
      <c r="E915" s="559"/>
      <c r="F915" s="559"/>
      <c r="G915" s="559"/>
      <c r="H915" s="168"/>
    </row>
    <row r="916" spans="2:8" ht="15" hidden="1">
      <c r="B916" s="162"/>
      <c r="C916" s="162"/>
      <c r="D916" s="162"/>
      <c r="E916" s="162"/>
      <c r="F916" s="162"/>
      <c r="G916" s="162"/>
      <c r="H916" s="168"/>
    </row>
    <row r="917" spans="2:8" ht="15.75" customHeight="1" hidden="1">
      <c r="B917" s="608" t="s">
        <v>221</v>
      </c>
      <c r="C917" s="608"/>
      <c r="D917" s="608"/>
      <c r="E917" s="608"/>
      <c r="F917" s="608"/>
      <c r="G917" s="608"/>
      <c r="H917" s="168"/>
    </row>
    <row r="918" spans="1:8" s="8" customFormat="1" ht="15.75" customHeight="1" hidden="1">
      <c r="A918" s="147"/>
      <c r="B918" s="559" t="s">
        <v>265</v>
      </c>
      <c r="C918" s="559"/>
      <c r="D918" s="559"/>
      <c r="E918" s="559"/>
      <c r="F918" s="559"/>
      <c r="G918" s="559"/>
      <c r="H918" s="163"/>
    </row>
    <row r="919" spans="1:8" s="8" customFormat="1" ht="15" hidden="1">
      <c r="A919" s="147"/>
      <c r="B919" s="163"/>
      <c r="C919" s="163"/>
      <c r="D919" s="164"/>
      <c r="E919" s="163"/>
      <c r="F919" s="163"/>
      <c r="G919" s="163"/>
      <c r="H919" s="163"/>
    </row>
    <row r="920" spans="1:8" s="8" customFormat="1" ht="30.75" hidden="1">
      <c r="A920" s="147"/>
      <c r="B920" s="50" t="s">
        <v>33</v>
      </c>
      <c r="C920" s="50" t="s">
        <v>40</v>
      </c>
      <c r="D920" s="50" t="s">
        <v>44</v>
      </c>
      <c r="E920" s="50" t="s">
        <v>45</v>
      </c>
      <c r="F920" s="50" t="s">
        <v>46</v>
      </c>
      <c r="G920" s="50" t="s">
        <v>47</v>
      </c>
      <c r="H920" s="163"/>
    </row>
    <row r="921" spans="1:8" s="8" customFormat="1" ht="15" hidden="1">
      <c r="A921" s="147"/>
      <c r="B921" s="50">
        <v>1</v>
      </c>
      <c r="C921" s="50">
        <v>2</v>
      </c>
      <c r="D921" s="50">
        <v>3</v>
      </c>
      <c r="E921" s="50">
        <v>4</v>
      </c>
      <c r="F921" s="50">
        <v>5</v>
      </c>
      <c r="G921" s="50">
        <v>6</v>
      </c>
      <c r="H921" s="163"/>
    </row>
    <row r="922" spans="1:8" s="8" customFormat="1" ht="15" hidden="1">
      <c r="A922" s="147"/>
      <c r="B922" s="50"/>
      <c r="C922" s="36"/>
      <c r="D922" s="50"/>
      <c r="E922" s="50"/>
      <c r="F922" s="170"/>
      <c r="G922" s="170"/>
      <c r="H922" s="163"/>
    </row>
    <row r="923" spans="1:8" s="8" customFormat="1" ht="15" hidden="1">
      <c r="A923" s="147"/>
      <c r="B923" s="50"/>
      <c r="C923" s="36"/>
      <c r="D923" s="50"/>
      <c r="E923" s="50"/>
      <c r="F923" s="169"/>
      <c r="G923" s="123"/>
      <c r="H923" s="163"/>
    </row>
    <row r="924" spans="1:8" s="8" customFormat="1" ht="15.75" customHeight="1" hidden="1">
      <c r="A924" s="147"/>
      <c r="B924" s="585" t="s">
        <v>70</v>
      </c>
      <c r="C924" s="586"/>
      <c r="D924" s="586"/>
      <c r="E924" s="586"/>
      <c r="F924" s="587"/>
      <c r="G924" s="122">
        <f>SUM(G922:G923)</f>
        <v>0</v>
      </c>
      <c r="H924" s="163"/>
    </row>
    <row r="925" spans="1:8" s="8" customFormat="1" ht="15.75" customHeight="1" hidden="1">
      <c r="A925" s="147"/>
      <c r="B925" s="171"/>
      <c r="C925" s="171"/>
      <c r="D925" s="171"/>
      <c r="E925" s="171"/>
      <c r="F925" s="171"/>
      <c r="G925" s="178"/>
      <c r="H925" s="163"/>
    </row>
    <row r="926" spans="1:8" s="8" customFormat="1" ht="15.75" customHeight="1" hidden="1">
      <c r="A926" s="147"/>
      <c r="B926" s="559" t="s">
        <v>266</v>
      </c>
      <c r="C926" s="559"/>
      <c r="D926" s="559"/>
      <c r="E926" s="559"/>
      <c r="F926" s="559"/>
      <c r="G926" s="559"/>
      <c r="H926" s="163"/>
    </row>
    <row r="927" spans="1:8" s="8" customFormat="1" ht="15.75" customHeight="1" hidden="1">
      <c r="A927" s="147"/>
      <c r="B927" s="163"/>
      <c r="C927" s="163"/>
      <c r="D927" s="164"/>
      <c r="E927" s="163"/>
      <c r="F927" s="163"/>
      <c r="G927" s="163"/>
      <c r="H927" s="163"/>
    </row>
    <row r="928" spans="1:8" s="8" customFormat="1" ht="33" customHeight="1" hidden="1">
      <c r="A928" s="147"/>
      <c r="B928" s="50" t="s">
        <v>33</v>
      </c>
      <c r="C928" s="50" t="s">
        <v>40</v>
      </c>
      <c r="D928" s="50" t="s">
        <v>283</v>
      </c>
      <c r="E928" s="533" t="s">
        <v>284</v>
      </c>
      <c r="F928" s="535"/>
      <c r="G928" s="50" t="s">
        <v>47</v>
      </c>
      <c r="H928" s="163"/>
    </row>
    <row r="929" spans="1:8" s="8" customFormat="1" ht="15.75" customHeight="1" hidden="1">
      <c r="A929" s="147"/>
      <c r="B929" s="50">
        <v>1</v>
      </c>
      <c r="C929" s="50">
        <v>2</v>
      </c>
      <c r="D929" s="50">
        <v>3</v>
      </c>
      <c r="E929" s="533">
        <v>4</v>
      </c>
      <c r="F929" s="535"/>
      <c r="G929" s="50">
        <v>5</v>
      </c>
      <c r="H929" s="163"/>
    </row>
    <row r="930" spans="1:8" s="8" customFormat="1" ht="15.75" customHeight="1" hidden="1">
      <c r="A930" s="147"/>
      <c r="B930" s="50"/>
      <c r="C930" s="50"/>
      <c r="D930" s="50"/>
      <c r="E930" s="533"/>
      <c r="F930" s="535"/>
      <c r="G930" s="50"/>
      <c r="H930" s="163"/>
    </row>
    <row r="931" spans="1:8" s="8" customFormat="1" ht="15.75" customHeight="1" hidden="1">
      <c r="A931" s="147"/>
      <c r="B931" s="50"/>
      <c r="C931" s="36"/>
      <c r="D931" s="50"/>
      <c r="E931" s="533"/>
      <c r="F931" s="535"/>
      <c r="G931" s="123"/>
      <c r="H931" s="163"/>
    </row>
    <row r="932" spans="1:8" s="8" customFormat="1" ht="15.75" customHeight="1" hidden="1">
      <c r="A932" s="147"/>
      <c r="B932" s="585" t="s">
        <v>226</v>
      </c>
      <c r="C932" s="586"/>
      <c r="D932" s="586"/>
      <c r="E932" s="586"/>
      <c r="F932" s="587"/>
      <c r="G932" s="122">
        <f>SUM(G931:G931)</f>
        <v>0</v>
      </c>
      <c r="H932" s="163"/>
    </row>
    <row r="933" spans="1:8" s="8" customFormat="1" ht="15" hidden="1">
      <c r="A933" s="147"/>
      <c r="B933" s="171"/>
      <c r="C933" s="171"/>
      <c r="D933" s="171"/>
      <c r="E933" s="171"/>
      <c r="F933" s="171"/>
      <c r="G933" s="171"/>
      <c r="H933" s="163"/>
    </row>
    <row r="934" spans="1:8" s="8" customFormat="1" ht="21" customHeight="1" hidden="1">
      <c r="A934" s="147"/>
      <c r="B934" s="621" t="s">
        <v>267</v>
      </c>
      <c r="C934" s="621"/>
      <c r="D934" s="621"/>
      <c r="E934" s="621"/>
      <c r="F934" s="621"/>
      <c r="G934" s="621"/>
      <c r="H934" s="163"/>
    </row>
    <row r="935" spans="1:8" s="8" customFormat="1" ht="15" hidden="1">
      <c r="A935" s="147"/>
      <c r="B935" s="163"/>
      <c r="C935" s="163"/>
      <c r="D935" s="164"/>
      <c r="E935" s="163"/>
      <c r="F935" s="163"/>
      <c r="G935" s="163"/>
      <c r="H935" s="163"/>
    </row>
    <row r="936" spans="1:8" s="8" customFormat="1" ht="46.5" hidden="1">
      <c r="A936" s="147"/>
      <c r="B936" s="50" t="s">
        <v>33</v>
      </c>
      <c r="C936" s="50" t="s">
        <v>40</v>
      </c>
      <c r="D936" s="50" t="s">
        <v>84</v>
      </c>
      <c r="E936" s="50" t="s">
        <v>48</v>
      </c>
      <c r="F936" s="50" t="s">
        <v>49</v>
      </c>
      <c r="G936" s="50" t="s">
        <v>47</v>
      </c>
      <c r="H936" s="163"/>
    </row>
    <row r="937" spans="1:8" s="8" customFormat="1" ht="15" hidden="1">
      <c r="A937" s="147"/>
      <c r="B937" s="50">
        <v>1</v>
      </c>
      <c r="C937" s="50">
        <v>2</v>
      </c>
      <c r="D937" s="50">
        <v>3</v>
      </c>
      <c r="E937" s="50">
        <v>4</v>
      </c>
      <c r="F937" s="50">
        <v>5</v>
      </c>
      <c r="G937" s="50">
        <v>6</v>
      </c>
      <c r="H937" s="163"/>
    </row>
    <row r="938" spans="1:8" s="8" customFormat="1" ht="15" hidden="1">
      <c r="A938" s="147"/>
      <c r="B938" s="50"/>
      <c r="C938" s="36"/>
      <c r="D938" s="170"/>
      <c r="E938" s="50"/>
      <c r="F938" s="50"/>
      <c r="G938" s="170"/>
      <c r="H938" s="163"/>
    </row>
    <row r="939" spans="1:8" s="8" customFormat="1" ht="15" hidden="1">
      <c r="A939" s="147"/>
      <c r="B939" s="50"/>
      <c r="C939" s="50"/>
      <c r="D939" s="50"/>
      <c r="E939" s="50"/>
      <c r="F939" s="50"/>
      <c r="G939" s="50"/>
      <c r="H939" s="163"/>
    </row>
    <row r="940" spans="1:8" s="9" customFormat="1" ht="15.75" customHeight="1" hidden="1">
      <c r="A940" s="172"/>
      <c r="B940" s="585" t="s">
        <v>73</v>
      </c>
      <c r="C940" s="586"/>
      <c r="D940" s="586"/>
      <c r="E940" s="586"/>
      <c r="F940" s="587"/>
      <c r="G940" s="122">
        <f>SUM(G938:G939)</f>
        <v>0</v>
      </c>
      <c r="H940" s="22"/>
    </row>
    <row r="941" spans="1:8" s="9" customFormat="1" ht="15.75" customHeight="1" hidden="1">
      <c r="A941" s="172"/>
      <c r="B941" s="171"/>
      <c r="C941" s="171"/>
      <c r="D941" s="171"/>
      <c r="E941" s="171"/>
      <c r="F941" s="171"/>
      <c r="G941" s="178"/>
      <c r="H941" s="22"/>
    </row>
    <row r="942" spans="1:8" s="9" customFormat="1" ht="15.75" customHeight="1" hidden="1">
      <c r="A942" s="172"/>
      <c r="B942" s="582" t="s">
        <v>268</v>
      </c>
      <c r="C942" s="582"/>
      <c r="D942" s="582"/>
      <c r="E942" s="582"/>
      <c r="F942" s="582"/>
      <c r="G942" s="582"/>
      <c r="H942" s="22"/>
    </row>
    <row r="943" spans="1:8" s="9" customFormat="1" ht="15.75" customHeight="1" hidden="1">
      <c r="A943" s="172"/>
      <c r="B943" s="163"/>
      <c r="C943" s="163"/>
      <c r="D943" s="164"/>
      <c r="E943" s="163"/>
      <c r="F943" s="163"/>
      <c r="G943" s="163"/>
      <c r="H943" s="22"/>
    </row>
    <row r="944" spans="1:8" s="9" customFormat="1" ht="32.25" customHeight="1" hidden="1">
      <c r="A944" s="172"/>
      <c r="B944" s="50" t="s">
        <v>33</v>
      </c>
      <c r="C944" s="50" t="s">
        <v>40</v>
      </c>
      <c r="D944" s="50" t="s">
        <v>54</v>
      </c>
      <c r="E944" s="27" t="s">
        <v>285</v>
      </c>
      <c r="F944" s="50" t="s">
        <v>47</v>
      </c>
      <c r="G944" s="8"/>
      <c r="H944" s="22"/>
    </row>
    <row r="945" spans="1:8" s="9" customFormat="1" ht="15.75" customHeight="1" hidden="1">
      <c r="A945" s="172"/>
      <c r="B945" s="118">
        <v>1</v>
      </c>
      <c r="C945" s="118">
        <v>2</v>
      </c>
      <c r="D945" s="118">
        <v>3</v>
      </c>
      <c r="E945" s="158">
        <v>4</v>
      </c>
      <c r="F945" s="50">
        <v>5</v>
      </c>
      <c r="G945" s="8"/>
      <c r="H945" s="22"/>
    </row>
    <row r="946" spans="1:8" s="9" customFormat="1" ht="15.75" customHeight="1" hidden="1">
      <c r="A946" s="172"/>
      <c r="B946" s="118"/>
      <c r="C946" s="50"/>
      <c r="D946" s="118"/>
      <c r="E946" s="158"/>
      <c r="F946" s="187"/>
      <c r="G946" s="8"/>
      <c r="H946" s="22"/>
    </row>
    <row r="947" spans="1:8" s="9" customFormat="1" ht="15.75" customHeight="1" hidden="1">
      <c r="A947" s="172"/>
      <c r="B947" s="118"/>
      <c r="C947" s="50"/>
      <c r="D947" s="118"/>
      <c r="E947" s="158"/>
      <c r="F947" s="187"/>
      <c r="G947" s="8"/>
      <c r="H947" s="22"/>
    </row>
    <row r="948" spans="1:8" s="8" customFormat="1" ht="15.75" customHeight="1" hidden="1">
      <c r="A948" s="147"/>
      <c r="B948" s="574" t="s">
        <v>227</v>
      </c>
      <c r="C948" s="575"/>
      <c r="D948" s="575"/>
      <c r="E948" s="576"/>
      <c r="F948" s="122">
        <f>SUM(F946:F947)</f>
        <v>0</v>
      </c>
      <c r="G948" s="9"/>
      <c r="H948" s="163"/>
    </row>
    <row r="949" spans="1:8" s="8" customFormat="1" ht="15" hidden="1">
      <c r="A949" s="147"/>
      <c r="B949" s="176"/>
      <c r="C949" s="176"/>
      <c r="D949" s="176"/>
      <c r="E949" s="176"/>
      <c r="F949" s="178"/>
      <c r="G949" s="9"/>
      <c r="H949" s="163"/>
    </row>
    <row r="950" spans="1:8" s="8" customFormat="1" ht="15.75" customHeight="1" hidden="1">
      <c r="A950" s="147"/>
      <c r="B950" s="582" t="s">
        <v>269</v>
      </c>
      <c r="C950" s="582"/>
      <c r="D950" s="582"/>
      <c r="E950" s="582"/>
      <c r="F950" s="582"/>
      <c r="G950" s="582"/>
      <c r="H950" s="163"/>
    </row>
    <row r="951" spans="1:8" s="8" customFormat="1" ht="15" hidden="1">
      <c r="A951" s="147"/>
      <c r="B951" s="163"/>
      <c r="C951" s="163"/>
      <c r="D951" s="164"/>
      <c r="E951" s="163"/>
      <c r="F951" s="163"/>
      <c r="G951" s="163"/>
      <c r="H951" s="163"/>
    </row>
    <row r="952" spans="1:8" s="8" customFormat="1" ht="32.25" customHeight="1" hidden="1">
      <c r="A952" s="147"/>
      <c r="B952" s="50" t="s">
        <v>33</v>
      </c>
      <c r="C952" s="50" t="s">
        <v>40</v>
      </c>
      <c r="D952" s="50" t="s">
        <v>50</v>
      </c>
      <c r="E952" s="27" t="s">
        <v>51</v>
      </c>
      <c r="F952" s="50" t="s">
        <v>47</v>
      </c>
      <c r="H952" s="163"/>
    </row>
    <row r="953" spans="1:8" s="8" customFormat="1" ht="15" hidden="1">
      <c r="A953" s="147"/>
      <c r="B953" s="118">
        <v>1</v>
      </c>
      <c r="C953" s="118">
        <v>2</v>
      </c>
      <c r="D953" s="118">
        <v>3</v>
      </c>
      <c r="E953" s="158">
        <v>4</v>
      </c>
      <c r="F953" s="50">
        <v>5</v>
      </c>
      <c r="H953" s="163"/>
    </row>
    <row r="954" spans="1:8" s="8" customFormat="1" ht="15" hidden="1">
      <c r="A954" s="147"/>
      <c r="B954" s="118"/>
      <c r="C954" s="36"/>
      <c r="D954" s="118"/>
      <c r="E954" s="158"/>
      <c r="F954" s="187"/>
      <c r="H954" s="174"/>
    </row>
    <row r="955" spans="1:8" s="8" customFormat="1" ht="15" hidden="1">
      <c r="A955" s="147"/>
      <c r="B955" s="118"/>
      <c r="C955" s="36"/>
      <c r="D955" s="118"/>
      <c r="E955" s="158"/>
      <c r="F955" s="187"/>
      <c r="H955" s="174"/>
    </row>
    <row r="956" spans="1:8" s="9" customFormat="1" ht="15.75" customHeight="1" hidden="1">
      <c r="A956" s="172"/>
      <c r="B956" s="574" t="s">
        <v>69</v>
      </c>
      <c r="C956" s="575"/>
      <c r="D956" s="575"/>
      <c r="E956" s="576"/>
      <c r="F956" s="122">
        <f>SUM(F954:F955)</f>
        <v>0</v>
      </c>
      <c r="H956" s="175"/>
    </row>
    <row r="957" spans="1:8" s="9" customFormat="1" ht="15" hidden="1">
      <c r="A957" s="172"/>
      <c r="B957" s="176"/>
      <c r="C957" s="177"/>
      <c r="D957" s="176"/>
      <c r="E957" s="176"/>
      <c r="F957" s="176"/>
      <c r="G957" s="178"/>
      <c r="H957" s="175"/>
    </row>
    <row r="958" spans="1:8" s="8" customFormat="1" ht="15.75" customHeight="1" hidden="1">
      <c r="A958" s="147"/>
      <c r="B958" s="559" t="s">
        <v>270</v>
      </c>
      <c r="C958" s="559"/>
      <c r="D958" s="559"/>
      <c r="E958" s="559"/>
      <c r="F958" s="559"/>
      <c r="G958" s="559"/>
      <c r="H958" s="163"/>
    </row>
    <row r="959" spans="1:8" s="8" customFormat="1" ht="15" hidden="1">
      <c r="A959" s="147"/>
      <c r="B959" s="163"/>
      <c r="C959" s="163"/>
      <c r="D959" s="164"/>
      <c r="E959" s="163"/>
      <c r="F959" s="163"/>
      <c r="G959" s="163"/>
      <c r="H959" s="163"/>
    </row>
    <row r="960" spans="1:8" s="8" customFormat="1" ht="30" customHeight="1" hidden="1">
      <c r="A960" s="147"/>
      <c r="B960" s="50" t="s">
        <v>33</v>
      </c>
      <c r="C960" s="533" t="s">
        <v>40</v>
      </c>
      <c r="D960" s="534"/>
      <c r="E960" s="535"/>
      <c r="F960" s="50" t="s">
        <v>52</v>
      </c>
      <c r="G960" s="50" t="s">
        <v>53</v>
      </c>
      <c r="H960" s="163"/>
    </row>
    <row r="961" spans="1:8" s="8" customFormat="1" ht="15.75" customHeight="1" hidden="1">
      <c r="A961" s="147"/>
      <c r="B961" s="26">
        <v>1</v>
      </c>
      <c r="C961" s="615">
        <v>2</v>
      </c>
      <c r="D961" s="633"/>
      <c r="E961" s="616"/>
      <c r="F961" s="26">
        <v>3</v>
      </c>
      <c r="G961" s="26">
        <v>4</v>
      </c>
      <c r="H961" s="163"/>
    </row>
    <row r="962" spans="1:8" s="8" customFormat="1" ht="15.75" customHeight="1" hidden="1">
      <c r="A962" s="147"/>
      <c r="B962" s="118"/>
      <c r="C962" s="571"/>
      <c r="D962" s="572"/>
      <c r="E962" s="573"/>
      <c r="F962" s="173"/>
      <c r="G962" s="179"/>
      <c r="H962" s="174"/>
    </row>
    <row r="963" spans="1:8" s="8" customFormat="1" ht="25.5" customHeight="1" hidden="1">
      <c r="A963" s="147"/>
      <c r="B963" s="574" t="s">
        <v>71</v>
      </c>
      <c r="C963" s="575"/>
      <c r="D963" s="575"/>
      <c r="E963" s="575"/>
      <c r="F963" s="576"/>
      <c r="G963" s="180">
        <f>SUM(G962:G962)</f>
        <v>0</v>
      </c>
      <c r="H963" s="163"/>
    </row>
    <row r="964" spans="1:8" s="8" customFormat="1" ht="15" hidden="1">
      <c r="A964" s="147"/>
      <c r="B964" s="181"/>
      <c r="C964" s="182"/>
      <c r="D964" s="182"/>
      <c r="E964" s="182"/>
      <c r="F964" s="181"/>
      <c r="G964" s="183"/>
      <c r="H964" s="163"/>
    </row>
    <row r="965" spans="1:8" s="8" customFormat="1" ht="17.25" customHeight="1" hidden="1">
      <c r="A965" s="147"/>
      <c r="B965" s="561" t="s">
        <v>271</v>
      </c>
      <c r="C965" s="561"/>
      <c r="D965" s="561"/>
      <c r="E965" s="561"/>
      <c r="F965" s="561"/>
      <c r="G965" s="561"/>
      <c r="H965" s="163"/>
    </row>
    <row r="966" spans="1:8" s="8" customFormat="1" ht="15" hidden="1">
      <c r="A966" s="147"/>
      <c r="B966" s="206"/>
      <c r="C966" s="206"/>
      <c r="D966" s="206"/>
      <c r="E966" s="206"/>
      <c r="F966" s="206"/>
      <c r="G966" s="206"/>
      <c r="H966" s="163"/>
    </row>
    <row r="967" spans="1:8" s="8" customFormat="1" ht="30.75" hidden="1">
      <c r="A967" s="147"/>
      <c r="B967" s="50" t="s">
        <v>33</v>
      </c>
      <c r="C967" s="530" t="s">
        <v>40</v>
      </c>
      <c r="D967" s="530"/>
      <c r="E967" s="50" t="s">
        <v>54</v>
      </c>
      <c r="F967" s="50" t="s">
        <v>55</v>
      </c>
      <c r="G967" s="50" t="s">
        <v>47</v>
      </c>
      <c r="H967" s="163"/>
    </row>
    <row r="968" spans="1:8" s="8" customFormat="1" ht="15" hidden="1">
      <c r="A968" s="147"/>
      <c r="B968" s="26">
        <v>1</v>
      </c>
      <c r="C968" s="615">
        <v>2</v>
      </c>
      <c r="D968" s="616"/>
      <c r="E968" s="26">
        <v>3</v>
      </c>
      <c r="F968" s="26">
        <v>4</v>
      </c>
      <c r="G968" s="50">
        <v>5</v>
      </c>
      <c r="H968" s="163"/>
    </row>
    <row r="969" spans="1:8" s="8" customFormat="1" ht="15" hidden="1">
      <c r="A969" s="147"/>
      <c r="B969" s="26"/>
      <c r="C969" s="615"/>
      <c r="D969" s="616"/>
      <c r="E969" s="26"/>
      <c r="F969" s="26"/>
      <c r="G969" s="50"/>
      <c r="H969" s="163"/>
    </row>
    <row r="970" spans="1:8" s="8" customFormat="1" ht="15" hidden="1">
      <c r="A970" s="147"/>
      <c r="B970" s="26"/>
      <c r="C970" s="569"/>
      <c r="D970" s="569"/>
      <c r="E970" s="173"/>
      <c r="F970" s="184"/>
      <c r="G970" s="184"/>
      <c r="H970" s="174"/>
    </row>
    <row r="971" spans="1:8" s="8" customFormat="1" ht="15.75" customHeight="1" hidden="1">
      <c r="A971" s="147"/>
      <c r="B971" s="574" t="s">
        <v>60</v>
      </c>
      <c r="C971" s="575"/>
      <c r="D971" s="575"/>
      <c r="E971" s="575"/>
      <c r="F971" s="576"/>
      <c r="G971" s="161">
        <f>SUM(G970)</f>
        <v>0</v>
      </c>
      <c r="H971" s="174"/>
    </row>
    <row r="972" spans="1:8" s="8" customFormat="1" ht="15" hidden="1">
      <c r="A972" s="147"/>
      <c r="B972" s="181"/>
      <c r="C972" s="182"/>
      <c r="D972" s="182"/>
      <c r="E972" s="182"/>
      <c r="F972" s="181"/>
      <c r="G972" s="183"/>
      <c r="H972" s="174"/>
    </row>
    <row r="973" spans="1:8" s="8" customFormat="1" ht="15.75" customHeight="1" hidden="1">
      <c r="A973" s="147"/>
      <c r="B973" s="559" t="s">
        <v>270</v>
      </c>
      <c r="C973" s="559"/>
      <c r="D973" s="559"/>
      <c r="E973" s="559"/>
      <c r="F973" s="559"/>
      <c r="G973" s="559"/>
      <c r="H973" s="163"/>
    </row>
    <row r="974" spans="1:8" s="8" customFormat="1" ht="9.75" customHeight="1" hidden="1">
      <c r="A974" s="147"/>
      <c r="B974" s="163"/>
      <c r="C974" s="163"/>
      <c r="D974" s="164"/>
      <c r="E974" s="163"/>
      <c r="F974" s="163"/>
      <c r="G974" s="163"/>
      <c r="H974" s="163"/>
    </row>
    <row r="975" spans="1:8" s="8" customFormat="1" ht="30" customHeight="1" hidden="1">
      <c r="A975" s="147"/>
      <c r="B975" s="50" t="s">
        <v>33</v>
      </c>
      <c r="C975" s="533" t="s">
        <v>40</v>
      </c>
      <c r="D975" s="534"/>
      <c r="E975" s="535"/>
      <c r="F975" s="50" t="s">
        <v>52</v>
      </c>
      <c r="G975" s="50" t="s">
        <v>53</v>
      </c>
      <c r="H975" s="163"/>
    </row>
    <row r="976" spans="1:8" s="8" customFormat="1" ht="15.75" customHeight="1" hidden="1">
      <c r="A976" s="147"/>
      <c r="B976" s="26">
        <v>1</v>
      </c>
      <c r="C976" s="615">
        <v>2</v>
      </c>
      <c r="D976" s="633"/>
      <c r="E976" s="616"/>
      <c r="F976" s="26">
        <v>3</v>
      </c>
      <c r="G976" s="26">
        <v>4</v>
      </c>
      <c r="H976" s="163"/>
    </row>
    <row r="977" spans="1:8" s="8" customFormat="1" ht="15.75" customHeight="1" hidden="1">
      <c r="A977" s="147"/>
      <c r="B977" s="118">
        <v>1</v>
      </c>
      <c r="C977" s="571" t="s">
        <v>515</v>
      </c>
      <c r="D977" s="572"/>
      <c r="E977" s="573"/>
      <c r="F977" s="173" t="s">
        <v>313</v>
      </c>
      <c r="G977" s="179">
        <v>792350</v>
      </c>
      <c r="H977" s="174"/>
    </row>
    <row r="978" spans="1:8" s="8" customFormat="1" ht="15.75" customHeight="1" hidden="1">
      <c r="A978" s="147"/>
      <c r="B978" s="574" t="s">
        <v>71</v>
      </c>
      <c r="C978" s="575"/>
      <c r="D978" s="575"/>
      <c r="E978" s="575"/>
      <c r="F978" s="576"/>
      <c r="G978" s="180">
        <f>SUM(G977:G977)</f>
        <v>792350</v>
      </c>
      <c r="H978" s="163"/>
    </row>
    <row r="979" spans="2:8" ht="15.75" customHeight="1" hidden="1">
      <c r="B979" s="574" t="s">
        <v>527</v>
      </c>
      <c r="C979" s="575"/>
      <c r="D979" s="575"/>
      <c r="E979" s="575"/>
      <c r="F979" s="576"/>
      <c r="G979" s="314">
        <f>G978</f>
        <v>792350</v>
      </c>
      <c r="H979" s="189"/>
    </row>
    <row r="980" spans="2:8" ht="7.5" customHeight="1" hidden="1">
      <c r="B980" s="150"/>
      <c r="C980" s="150"/>
      <c r="D980" s="150"/>
      <c r="E980" s="150"/>
      <c r="F980" s="150"/>
      <c r="G980" s="150"/>
      <c r="H980" s="150"/>
    </row>
    <row r="981" spans="1:8" s="8" customFormat="1" ht="15.75" customHeight="1" hidden="1">
      <c r="A981" s="147"/>
      <c r="B981" s="562" t="s">
        <v>272</v>
      </c>
      <c r="C981" s="562"/>
      <c r="D981" s="562"/>
      <c r="E981" s="562"/>
      <c r="F981" s="562"/>
      <c r="G981" s="562"/>
      <c r="H981" s="174"/>
    </row>
    <row r="982" spans="1:8" s="8" customFormat="1" ht="3.75" customHeight="1" hidden="1">
      <c r="A982" s="147"/>
      <c r="B982" s="181"/>
      <c r="C982" s="182"/>
      <c r="D982" s="182"/>
      <c r="E982" s="182"/>
      <c r="F982" s="181"/>
      <c r="G982" s="183"/>
      <c r="H982" s="174"/>
    </row>
    <row r="983" spans="1:8" s="8" customFormat="1" ht="30" customHeight="1" hidden="1">
      <c r="A983" s="147"/>
      <c r="B983" s="50" t="s">
        <v>33</v>
      </c>
      <c r="C983" s="533" t="s">
        <v>40</v>
      </c>
      <c r="D983" s="534"/>
      <c r="E983" s="535"/>
      <c r="F983" s="50" t="s">
        <v>52</v>
      </c>
      <c r="G983" s="50" t="s">
        <v>53</v>
      </c>
      <c r="H983" s="174"/>
    </row>
    <row r="984" spans="1:8" s="8" customFormat="1" ht="15.75" customHeight="1" hidden="1">
      <c r="A984" s="147"/>
      <c r="B984" s="26">
        <v>1</v>
      </c>
      <c r="C984" s="615">
        <v>2</v>
      </c>
      <c r="D984" s="633"/>
      <c r="E984" s="616"/>
      <c r="F984" s="26">
        <v>3</v>
      </c>
      <c r="G984" s="26">
        <v>4</v>
      </c>
      <c r="H984" s="163"/>
    </row>
    <row r="985" spans="1:8" s="8" customFormat="1" ht="2.25" customHeight="1" hidden="1">
      <c r="A985" s="147"/>
      <c r="B985" s="118">
        <v>1</v>
      </c>
      <c r="C985" s="571" t="s">
        <v>442</v>
      </c>
      <c r="D985" s="572"/>
      <c r="E985" s="573"/>
      <c r="F985" s="173">
        <v>1</v>
      </c>
      <c r="G985" s="184">
        <f>5950000+400000+7550189.2</f>
        <v>13900189.2</v>
      </c>
      <c r="H985" s="174"/>
    </row>
    <row r="986" spans="1:8" s="8" customFormat="1" ht="15.75" customHeight="1" hidden="1">
      <c r="A986" s="147"/>
      <c r="B986" s="118"/>
      <c r="C986" s="571"/>
      <c r="D986" s="572"/>
      <c r="E986" s="573"/>
      <c r="F986" s="173"/>
      <c r="G986" s="184"/>
      <c r="H986" s="174"/>
    </row>
    <row r="987" spans="1:8" s="8" customFormat="1" ht="15.75" customHeight="1" hidden="1">
      <c r="A987" s="147"/>
      <c r="B987" s="574" t="s">
        <v>74</v>
      </c>
      <c r="C987" s="575"/>
      <c r="D987" s="575"/>
      <c r="E987" s="575"/>
      <c r="F987" s="576"/>
      <c r="G987" s="161">
        <f>SUM(G985:G985)</f>
        <v>13900189.2</v>
      </c>
      <c r="H987" s="174"/>
    </row>
    <row r="988" spans="1:8" s="8" customFormat="1" ht="15.75" customHeight="1" hidden="1">
      <c r="A988" s="147"/>
      <c r="B988" s="665" t="s">
        <v>493</v>
      </c>
      <c r="C988" s="666"/>
      <c r="D988" s="666"/>
      <c r="E988" s="666"/>
      <c r="F988" s="667"/>
      <c r="G988" s="161">
        <f>G985-G1021</f>
        <v>6950094.6</v>
      </c>
      <c r="H988" s="174"/>
    </row>
    <row r="989" spans="1:8" s="8" customFormat="1" ht="15.75" customHeight="1" hidden="1">
      <c r="A989" s="147"/>
      <c r="B989" s="653" t="s">
        <v>273</v>
      </c>
      <c r="C989" s="653"/>
      <c r="D989" s="653"/>
      <c r="E989" s="653"/>
      <c r="F989" s="653"/>
      <c r="G989" s="653"/>
      <c r="H989" s="163"/>
    </row>
    <row r="990" spans="1:8" s="8" customFormat="1" ht="15" hidden="1">
      <c r="A990" s="147"/>
      <c r="B990" s="163"/>
      <c r="C990" s="163"/>
      <c r="D990" s="164"/>
      <c r="E990" s="163"/>
      <c r="F990" s="163"/>
      <c r="G990" s="163"/>
      <c r="H990" s="163"/>
    </row>
    <row r="991" spans="1:8" s="8" customFormat="1" ht="30.75" hidden="1">
      <c r="A991" s="147"/>
      <c r="B991" s="50" t="s">
        <v>33</v>
      </c>
      <c r="C991" s="533" t="s">
        <v>40</v>
      </c>
      <c r="D991" s="535"/>
      <c r="E991" s="50" t="s">
        <v>54</v>
      </c>
      <c r="F991" s="50" t="s">
        <v>55</v>
      </c>
      <c r="G991" s="50" t="s">
        <v>47</v>
      </c>
      <c r="H991" s="163"/>
    </row>
    <row r="992" spans="1:8" s="8" customFormat="1" ht="15" hidden="1">
      <c r="A992" s="147"/>
      <c r="B992" s="27">
        <v>1</v>
      </c>
      <c r="C992" s="619">
        <v>2</v>
      </c>
      <c r="D992" s="620"/>
      <c r="E992" s="173">
        <v>3</v>
      </c>
      <c r="F992" s="193">
        <v>4</v>
      </c>
      <c r="G992" s="30">
        <v>5</v>
      </c>
      <c r="H992" s="163"/>
    </row>
    <row r="993" spans="1:8" s="8" customFormat="1" ht="15" hidden="1">
      <c r="A993" s="147"/>
      <c r="B993" s="27"/>
      <c r="C993" s="571"/>
      <c r="D993" s="573"/>
      <c r="E993" s="173"/>
      <c r="F993" s="218"/>
      <c r="G993" s="30"/>
      <c r="H993" s="163"/>
    </row>
    <row r="994" spans="1:8" s="8" customFormat="1" ht="15" hidden="1">
      <c r="A994" s="147"/>
      <c r="B994" s="50"/>
      <c r="C994" s="569"/>
      <c r="D994" s="570"/>
      <c r="E994" s="173"/>
      <c r="F994" s="179"/>
      <c r="G994" s="123"/>
      <c r="H994" s="163"/>
    </row>
    <row r="995" spans="1:8" s="8" customFormat="1" ht="15.75" customHeight="1" hidden="1">
      <c r="A995" s="147"/>
      <c r="B995" s="574" t="s">
        <v>57</v>
      </c>
      <c r="C995" s="575"/>
      <c r="D995" s="575"/>
      <c r="E995" s="575"/>
      <c r="F995" s="576"/>
      <c r="G995" s="68">
        <f>G993+G994</f>
        <v>0</v>
      </c>
      <c r="H995" s="163"/>
    </row>
    <row r="996" spans="1:9" s="8" customFormat="1" ht="15" hidden="1">
      <c r="A996" s="188"/>
      <c r="B996" s="176"/>
      <c r="C996" s="176"/>
      <c r="D996" s="176"/>
      <c r="E996" s="176"/>
      <c r="F996" s="189"/>
      <c r="G996" s="190"/>
      <c r="H996" s="191"/>
      <c r="I996" s="192"/>
    </row>
    <row r="997" spans="1:8" s="8" customFormat="1" ht="33" customHeight="1" hidden="1">
      <c r="A997" s="147"/>
      <c r="B997" s="582" t="s">
        <v>274</v>
      </c>
      <c r="C997" s="582"/>
      <c r="D997" s="582"/>
      <c r="E997" s="582"/>
      <c r="F997" s="582"/>
      <c r="G997" s="582"/>
      <c r="H997" s="163"/>
    </row>
    <row r="998" spans="1:8" s="8" customFormat="1" ht="15" hidden="1">
      <c r="A998" s="147"/>
      <c r="B998" s="163"/>
      <c r="C998" s="163"/>
      <c r="D998" s="164"/>
      <c r="E998" s="163"/>
      <c r="F998" s="163"/>
      <c r="G998" s="163"/>
      <c r="H998" s="163"/>
    </row>
    <row r="999" spans="1:8" s="8" customFormat="1" ht="30.75" hidden="1">
      <c r="A999" s="147"/>
      <c r="B999" s="50" t="s">
        <v>33</v>
      </c>
      <c r="C999" s="533" t="s">
        <v>40</v>
      </c>
      <c r="D999" s="535"/>
      <c r="E999" s="50" t="s">
        <v>54</v>
      </c>
      <c r="F999" s="50" t="s">
        <v>55</v>
      </c>
      <c r="G999" s="50" t="s">
        <v>47</v>
      </c>
      <c r="H999" s="163"/>
    </row>
    <row r="1000" spans="1:8" s="8" customFormat="1" ht="15" hidden="1">
      <c r="A1000" s="147"/>
      <c r="B1000" s="194">
        <v>1</v>
      </c>
      <c r="C1000" s="580">
        <v>2</v>
      </c>
      <c r="D1000" s="581"/>
      <c r="E1000" s="193">
        <v>3</v>
      </c>
      <c r="F1000" s="193">
        <v>4</v>
      </c>
      <c r="G1000" s="30">
        <v>5</v>
      </c>
      <c r="H1000" s="163"/>
    </row>
    <row r="1001" spans="1:8" s="8" customFormat="1" ht="15" hidden="1">
      <c r="A1001" s="147"/>
      <c r="B1001" s="27"/>
      <c r="C1001" s="619"/>
      <c r="D1001" s="627"/>
      <c r="E1001" s="173"/>
      <c r="F1001" s="179"/>
      <c r="G1001" s="123"/>
      <c r="H1001" s="163"/>
    </row>
    <row r="1002" spans="1:8" s="8" customFormat="1" ht="15" hidden="1">
      <c r="A1002" s="147"/>
      <c r="B1002" s="50"/>
      <c r="C1002" s="569"/>
      <c r="D1002" s="570"/>
      <c r="E1002" s="173"/>
      <c r="F1002" s="179"/>
      <c r="G1002" s="123"/>
      <c r="H1002" s="163"/>
    </row>
    <row r="1003" spans="1:8" s="8" customFormat="1" ht="15.75" customHeight="1" hidden="1">
      <c r="A1003" s="147"/>
      <c r="B1003" s="574" t="s">
        <v>228</v>
      </c>
      <c r="C1003" s="575"/>
      <c r="D1003" s="575"/>
      <c r="E1003" s="575"/>
      <c r="F1003" s="576"/>
      <c r="G1003" s="68">
        <v>0</v>
      </c>
      <c r="H1003" s="163"/>
    </row>
    <row r="1004" ht="15" hidden="1"/>
    <row r="1005" spans="1:8" s="8" customFormat="1" ht="15.75" customHeight="1" hidden="1">
      <c r="A1005" s="147"/>
      <c r="B1005" s="559" t="s">
        <v>275</v>
      </c>
      <c r="C1005" s="559"/>
      <c r="D1005" s="559"/>
      <c r="E1005" s="559"/>
      <c r="F1005" s="559"/>
      <c r="G1005" s="559"/>
      <c r="H1005" s="163"/>
    </row>
    <row r="1006" spans="1:8" s="8" customFormat="1" ht="15" hidden="1">
      <c r="A1006" s="147"/>
      <c r="B1006" s="163"/>
      <c r="C1006" s="163"/>
      <c r="D1006" s="164"/>
      <c r="E1006" s="163"/>
      <c r="F1006" s="163"/>
      <c r="G1006" s="163"/>
      <c r="H1006" s="163"/>
    </row>
    <row r="1007" spans="1:8" s="8" customFormat="1" ht="30.75" hidden="1">
      <c r="A1007" s="147"/>
      <c r="B1007" s="50" t="s">
        <v>33</v>
      </c>
      <c r="C1007" s="533" t="s">
        <v>40</v>
      </c>
      <c r="D1007" s="535"/>
      <c r="E1007" s="50" t="s">
        <v>54</v>
      </c>
      <c r="F1007" s="50" t="s">
        <v>55</v>
      </c>
      <c r="G1007" s="50" t="s">
        <v>47</v>
      </c>
      <c r="H1007" s="163"/>
    </row>
    <row r="1008" spans="1:8" s="8" customFormat="1" ht="15" hidden="1">
      <c r="A1008" s="147"/>
      <c r="B1008" s="194">
        <v>1</v>
      </c>
      <c r="C1008" s="580">
        <v>2</v>
      </c>
      <c r="D1008" s="581"/>
      <c r="E1008" s="193">
        <v>3</v>
      </c>
      <c r="F1008" s="193">
        <v>4</v>
      </c>
      <c r="G1008" s="30">
        <v>5</v>
      </c>
      <c r="H1008" s="163"/>
    </row>
    <row r="1009" spans="1:8" s="8" customFormat="1" ht="15" hidden="1">
      <c r="A1009" s="147"/>
      <c r="B1009" s="27"/>
      <c r="C1009" s="619"/>
      <c r="D1009" s="627"/>
      <c r="E1009" s="173"/>
      <c r="F1009" s="179"/>
      <c r="G1009" s="123"/>
      <c r="H1009" s="163"/>
    </row>
    <row r="1010" spans="1:8" s="8" customFormat="1" ht="15" hidden="1">
      <c r="A1010" s="147"/>
      <c r="B1010" s="50"/>
      <c r="C1010" s="569"/>
      <c r="D1010" s="570"/>
      <c r="E1010" s="173"/>
      <c r="F1010" s="179"/>
      <c r="G1010" s="123"/>
      <c r="H1010" s="163"/>
    </row>
    <row r="1011" spans="1:8" s="8" customFormat="1" ht="15.75" customHeight="1" hidden="1">
      <c r="A1011" s="147"/>
      <c r="B1011" s="574" t="s">
        <v>229</v>
      </c>
      <c r="C1011" s="575"/>
      <c r="D1011" s="575"/>
      <c r="E1011" s="575"/>
      <c r="F1011" s="576"/>
      <c r="G1011" s="68">
        <v>0</v>
      </c>
      <c r="H1011" s="163"/>
    </row>
    <row r="1012" ht="15" hidden="1"/>
    <row r="1013" spans="1:8" s="8" customFormat="1" ht="15.75" customHeight="1" hidden="1">
      <c r="A1013" s="147"/>
      <c r="B1013" s="559" t="s">
        <v>276</v>
      </c>
      <c r="C1013" s="559"/>
      <c r="D1013" s="559"/>
      <c r="E1013" s="559"/>
      <c r="F1013" s="559"/>
      <c r="G1013" s="559"/>
      <c r="H1013" s="163"/>
    </row>
    <row r="1014" spans="1:8" s="8" customFormat="1" ht="15" hidden="1">
      <c r="A1014" s="147"/>
      <c r="B1014" s="163"/>
      <c r="C1014" s="163"/>
      <c r="D1014" s="164"/>
      <c r="E1014" s="163"/>
      <c r="F1014" s="163"/>
      <c r="G1014" s="163"/>
      <c r="H1014" s="163"/>
    </row>
    <row r="1015" spans="1:8" s="8" customFormat="1" ht="30.75" hidden="1">
      <c r="A1015" s="147"/>
      <c r="B1015" s="50" t="s">
        <v>33</v>
      </c>
      <c r="C1015" s="533" t="s">
        <v>40</v>
      </c>
      <c r="D1015" s="535"/>
      <c r="E1015" s="50" t="s">
        <v>54</v>
      </c>
      <c r="F1015" s="50" t="s">
        <v>55</v>
      </c>
      <c r="G1015" s="50" t="s">
        <v>47</v>
      </c>
      <c r="H1015" s="163"/>
    </row>
    <row r="1016" spans="1:8" s="8" customFormat="1" ht="15" hidden="1">
      <c r="A1016" s="147"/>
      <c r="B1016" s="194">
        <v>1</v>
      </c>
      <c r="C1016" s="580">
        <v>2</v>
      </c>
      <c r="D1016" s="581"/>
      <c r="E1016" s="193">
        <v>3</v>
      </c>
      <c r="F1016" s="193">
        <v>4</v>
      </c>
      <c r="G1016" s="30">
        <v>5</v>
      </c>
      <c r="H1016" s="163"/>
    </row>
    <row r="1017" spans="1:8" s="8" customFormat="1" ht="15" hidden="1">
      <c r="A1017" s="147"/>
      <c r="B1017" s="27"/>
      <c r="C1017" s="571"/>
      <c r="D1017" s="573"/>
      <c r="E1017" s="173"/>
      <c r="F1017" s="179"/>
      <c r="G1017" s="123"/>
      <c r="H1017" s="163"/>
    </row>
    <row r="1018" spans="1:8" s="8" customFormat="1" ht="15" hidden="1">
      <c r="A1018" s="147"/>
      <c r="B1018" s="50"/>
      <c r="C1018" s="569"/>
      <c r="D1018" s="570"/>
      <c r="E1018" s="173"/>
      <c r="F1018" s="179"/>
      <c r="G1018" s="123"/>
      <c r="H1018" s="163"/>
    </row>
    <row r="1019" spans="1:8" s="8" customFormat="1" ht="15.75" customHeight="1" hidden="1">
      <c r="A1019" s="147"/>
      <c r="B1019" s="574" t="s">
        <v>230</v>
      </c>
      <c r="C1019" s="575"/>
      <c r="D1019" s="575"/>
      <c r="E1019" s="575"/>
      <c r="F1019" s="576"/>
      <c r="G1019" s="68">
        <f>G1017+G1018</f>
        <v>0</v>
      </c>
      <c r="H1019" s="163"/>
    </row>
    <row r="1020" ht="15" hidden="1"/>
    <row r="1021" spans="1:8" s="8" customFormat="1" ht="15.75" customHeight="1" hidden="1">
      <c r="A1021" s="147"/>
      <c r="B1021" s="574" t="s">
        <v>495</v>
      </c>
      <c r="C1021" s="575"/>
      <c r="D1021" s="575"/>
      <c r="E1021" s="575"/>
      <c r="F1021" s="576"/>
      <c r="G1021" s="161">
        <v>6950094.6</v>
      </c>
      <c r="H1021" s="174"/>
    </row>
    <row r="1022" spans="1:8" s="8" customFormat="1" ht="19.5" customHeight="1" hidden="1">
      <c r="A1022" s="147"/>
      <c r="B1022" s="653" t="s">
        <v>273</v>
      </c>
      <c r="C1022" s="653"/>
      <c r="D1022" s="653"/>
      <c r="E1022" s="653"/>
      <c r="F1022" s="653"/>
      <c r="G1022" s="653"/>
      <c r="H1022" s="163"/>
    </row>
    <row r="1023" spans="1:8" s="8" customFormat="1" ht="5.25" customHeight="1" hidden="1">
      <c r="A1023" s="147"/>
      <c r="B1023" s="163"/>
      <c r="C1023" s="163"/>
      <c r="D1023" s="164"/>
      <c r="E1023" s="163"/>
      <c r="F1023" s="163"/>
      <c r="G1023" s="163"/>
      <c r="H1023" s="163"/>
    </row>
    <row r="1024" spans="1:8" s="8" customFormat="1" ht="30" customHeight="1" hidden="1">
      <c r="A1024" s="147"/>
      <c r="B1024" s="50" t="s">
        <v>33</v>
      </c>
      <c r="C1024" s="533" t="s">
        <v>40</v>
      </c>
      <c r="D1024" s="534"/>
      <c r="E1024" s="535"/>
      <c r="F1024" s="50" t="s">
        <v>54</v>
      </c>
      <c r="G1024" s="50" t="s">
        <v>55</v>
      </c>
      <c r="H1024" s="50" t="s">
        <v>47</v>
      </c>
    </row>
    <row r="1025" spans="1:8" s="8" customFormat="1" ht="15.75" customHeight="1" hidden="1">
      <c r="A1025" s="147"/>
      <c r="B1025" s="27">
        <v>1</v>
      </c>
      <c r="C1025" s="619">
        <v>2</v>
      </c>
      <c r="D1025" s="654"/>
      <c r="E1025" s="627"/>
      <c r="F1025" s="173">
        <v>3</v>
      </c>
      <c r="G1025" s="193">
        <v>4</v>
      </c>
      <c r="H1025" s="30">
        <v>5</v>
      </c>
    </row>
    <row r="1026" spans="1:9" s="8" customFormat="1" ht="21" customHeight="1" hidden="1">
      <c r="A1026" s="147"/>
      <c r="B1026" s="27">
        <v>1</v>
      </c>
      <c r="C1026" s="571" t="s">
        <v>497</v>
      </c>
      <c r="D1026" s="572"/>
      <c r="E1026" s="573"/>
      <c r="F1026" s="173">
        <v>13</v>
      </c>
      <c r="G1026" s="240">
        <f>H1026/F1026</f>
        <v>4876.923076923077</v>
      </c>
      <c r="H1026" s="238">
        <v>63400</v>
      </c>
      <c r="I1026" s="319"/>
    </row>
    <row r="1027" spans="1:9" s="8" customFormat="1" ht="31.5" customHeight="1" hidden="1">
      <c r="A1027" s="147"/>
      <c r="B1027" s="27">
        <v>2</v>
      </c>
      <c r="C1027" s="571" t="s">
        <v>498</v>
      </c>
      <c r="D1027" s="572"/>
      <c r="E1027" s="573"/>
      <c r="F1027" s="173">
        <v>18</v>
      </c>
      <c r="G1027" s="240">
        <v>2000</v>
      </c>
      <c r="H1027" s="238">
        <f aca="true" t="shared" si="5" ref="H1027:H1032">F1027*G1027</f>
        <v>36000</v>
      </c>
      <c r="I1027" s="319"/>
    </row>
    <row r="1028" spans="1:9" s="8" customFormat="1" ht="17.25" customHeight="1" hidden="1">
      <c r="A1028" s="147"/>
      <c r="B1028" s="50">
        <v>3</v>
      </c>
      <c r="C1028" s="571" t="s">
        <v>508</v>
      </c>
      <c r="D1028" s="572"/>
      <c r="E1028" s="573"/>
      <c r="F1028" s="173">
        <v>3</v>
      </c>
      <c r="G1028" s="240">
        <v>3000</v>
      </c>
      <c r="H1028" s="238">
        <f t="shared" si="5"/>
        <v>9000</v>
      </c>
      <c r="I1028" s="319"/>
    </row>
    <row r="1029" spans="1:9" s="8" customFormat="1" ht="16.5" customHeight="1" hidden="1">
      <c r="A1029" s="147"/>
      <c r="B1029" s="50">
        <v>4</v>
      </c>
      <c r="C1029" s="571" t="s">
        <v>509</v>
      </c>
      <c r="D1029" s="572"/>
      <c r="E1029" s="573"/>
      <c r="F1029" s="173">
        <v>13</v>
      </c>
      <c r="G1029" s="240">
        <v>11000</v>
      </c>
      <c r="H1029" s="238">
        <f t="shared" si="5"/>
        <v>143000</v>
      </c>
      <c r="I1029" s="319"/>
    </row>
    <row r="1030" spans="1:9" s="8" customFormat="1" ht="8.25" customHeight="1" hidden="1">
      <c r="A1030" s="147"/>
      <c r="B1030" s="50">
        <v>5</v>
      </c>
      <c r="C1030" s="571" t="s">
        <v>510</v>
      </c>
      <c r="D1030" s="572"/>
      <c r="E1030" s="573"/>
      <c r="F1030" s="173">
        <v>2</v>
      </c>
      <c r="G1030" s="240">
        <v>19900</v>
      </c>
      <c r="H1030" s="238">
        <f t="shared" si="5"/>
        <v>39800</v>
      </c>
      <c r="I1030" s="319"/>
    </row>
    <row r="1031" spans="1:9" s="8" customFormat="1" ht="18.75" customHeight="1" hidden="1">
      <c r="A1031" s="147"/>
      <c r="B1031" s="50">
        <v>6</v>
      </c>
      <c r="C1031" s="571" t="s">
        <v>511</v>
      </c>
      <c r="D1031" s="572"/>
      <c r="E1031" s="573"/>
      <c r="F1031" s="173">
        <v>20</v>
      </c>
      <c r="G1031" s="240">
        <v>11000</v>
      </c>
      <c r="H1031" s="238">
        <f t="shared" si="5"/>
        <v>220000</v>
      </c>
      <c r="I1031" s="319"/>
    </row>
    <row r="1032" spans="1:9" s="8" customFormat="1" ht="36" customHeight="1" hidden="1">
      <c r="A1032" s="147"/>
      <c r="B1032" s="50">
        <v>7</v>
      </c>
      <c r="C1032" s="571" t="s">
        <v>512</v>
      </c>
      <c r="D1032" s="572"/>
      <c r="E1032" s="573"/>
      <c r="F1032" s="173">
        <v>2</v>
      </c>
      <c r="G1032" s="240">
        <v>18200</v>
      </c>
      <c r="H1032" s="238">
        <f t="shared" si="5"/>
        <v>36400</v>
      </c>
      <c r="I1032" s="319"/>
    </row>
    <row r="1033" spans="1:9" s="8" customFormat="1" ht="34.5" customHeight="1" hidden="1">
      <c r="A1033" s="147"/>
      <c r="B1033" s="50">
        <v>8</v>
      </c>
      <c r="C1033" s="571" t="s">
        <v>513</v>
      </c>
      <c r="D1033" s="572"/>
      <c r="E1033" s="573"/>
      <c r="F1033" s="173">
        <v>1</v>
      </c>
      <c r="G1033" s="240">
        <v>6000</v>
      </c>
      <c r="H1033" s="238">
        <f>F1033*G1033</f>
        <v>6000</v>
      </c>
      <c r="I1033" s="319"/>
    </row>
    <row r="1034" spans="1:9" s="8" customFormat="1" ht="15.75" customHeight="1" hidden="1">
      <c r="A1034" s="147"/>
      <c r="B1034" s="574" t="s">
        <v>57</v>
      </c>
      <c r="C1034" s="575"/>
      <c r="D1034" s="575"/>
      <c r="E1034" s="575"/>
      <c r="F1034" s="575"/>
      <c r="G1034" s="576"/>
      <c r="H1034" s="68">
        <f>SUM(H1026:H1033)</f>
        <v>553600</v>
      </c>
      <c r="I1034" s="319"/>
    </row>
    <row r="1035" spans="1:9" s="8" customFormat="1" ht="27" customHeight="1" hidden="1">
      <c r="A1035" s="147"/>
      <c r="B1035" s="574" t="s">
        <v>499</v>
      </c>
      <c r="C1035" s="575"/>
      <c r="D1035" s="575"/>
      <c r="E1035" s="575"/>
      <c r="F1035" s="575"/>
      <c r="G1035" s="576"/>
      <c r="H1035" s="68">
        <f>H1034</f>
        <v>553600</v>
      </c>
      <c r="I1035" s="319"/>
    </row>
    <row r="1036" spans="2:8" ht="15">
      <c r="B1036" s="664" t="s">
        <v>270</v>
      </c>
      <c r="C1036" s="664"/>
      <c r="D1036" s="664"/>
      <c r="E1036" s="664"/>
      <c r="F1036" s="664"/>
      <c r="G1036" s="664"/>
      <c r="H1036" s="168"/>
    </row>
    <row r="1037" spans="2:8" ht="15">
      <c r="B1037" s="168"/>
      <c r="C1037" s="168"/>
      <c r="D1037" s="345"/>
      <c r="E1037" s="168"/>
      <c r="F1037" s="168"/>
      <c r="G1037" s="168"/>
      <c r="H1037" s="168"/>
    </row>
    <row r="1038" spans="2:8" ht="30.75">
      <c r="B1038" s="333" t="s">
        <v>33</v>
      </c>
      <c r="C1038" s="639" t="s">
        <v>40</v>
      </c>
      <c r="D1038" s="657"/>
      <c r="E1038" s="640"/>
      <c r="F1038" s="333" t="s">
        <v>52</v>
      </c>
      <c r="G1038" s="333" t="s">
        <v>53</v>
      </c>
      <c r="H1038" s="168"/>
    </row>
    <row r="1039" spans="2:8" ht="15">
      <c r="B1039" s="346">
        <v>1</v>
      </c>
      <c r="C1039" s="658">
        <v>2</v>
      </c>
      <c r="D1039" s="659"/>
      <c r="E1039" s="660"/>
      <c r="F1039" s="346">
        <v>3</v>
      </c>
      <c r="G1039" s="346">
        <v>4</v>
      </c>
      <c r="H1039" s="168"/>
    </row>
    <row r="1040" spans="2:8" ht="15.75" customHeight="1">
      <c r="B1040" s="341">
        <v>1</v>
      </c>
      <c r="C1040" s="661" t="s">
        <v>515</v>
      </c>
      <c r="D1040" s="662"/>
      <c r="E1040" s="663"/>
      <c r="F1040" s="334" t="s">
        <v>313</v>
      </c>
      <c r="G1040" s="347">
        <v>0</v>
      </c>
      <c r="H1040" s="348"/>
    </row>
    <row r="1041" spans="2:8" ht="15">
      <c r="B1041" s="641" t="s">
        <v>71</v>
      </c>
      <c r="C1041" s="642"/>
      <c r="D1041" s="642"/>
      <c r="E1041" s="642"/>
      <c r="F1041" s="643"/>
      <c r="G1041" s="349">
        <f>SUM(G1040:G1040)</f>
        <v>0</v>
      </c>
      <c r="H1041" s="168"/>
    </row>
    <row r="1042" spans="2:8" ht="15">
      <c r="B1042" s="641" t="s">
        <v>838</v>
      </c>
      <c r="C1042" s="642"/>
      <c r="D1042" s="642"/>
      <c r="E1042" s="642"/>
      <c r="F1042" s="643"/>
      <c r="G1042" s="350">
        <f>G1041</f>
        <v>0</v>
      </c>
      <c r="H1042" s="351"/>
    </row>
  </sheetData>
  <sheetProtection/>
  <mergeCells count="823">
    <mergeCell ref="B380:G380"/>
    <mergeCell ref="B373:G373"/>
    <mergeCell ref="C374:E374"/>
    <mergeCell ref="J374:K374"/>
    <mergeCell ref="C375:E375"/>
    <mergeCell ref="C376:E376"/>
    <mergeCell ref="B377:G377"/>
    <mergeCell ref="B379:G379"/>
    <mergeCell ref="C567:D567"/>
    <mergeCell ref="B414:F414"/>
    <mergeCell ref="C392:D392"/>
    <mergeCell ref="C395:D395"/>
    <mergeCell ref="C396:D396"/>
    <mergeCell ref="C384:D384"/>
    <mergeCell ref="C413:D413"/>
    <mergeCell ref="C393:D393"/>
    <mergeCell ref="B550:F550"/>
    <mergeCell ref="B408:F408"/>
    <mergeCell ref="B574:F574"/>
    <mergeCell ref="B575:F575"/>
    <mergeCell ref="B560:F560"/>
    <mergeCell ref="B563:F563"/>
    <mergeCell ref="B564:G564"/>
    <mergeCell ref="C546:D546"/>
    <mergeCell ref="B561:F561"/>
    <mergeCell ref="C547:D547"/>
    <mergeCell ref="C557:D557"/>
    <mergeCell ref="C551:D551"/>
    <mergeCell ref="B410:F410"/>
    <mergeCell ref="B412:F412"/>
    <mergeCell ref="B525:F525"/>
    <mergeCell ref="C296:E296"/>
    <mergeCell ref="C293:E293"/>
    <mergeCell ref="C385:D385"/>
    <mergeCell ref="C386:D386"/>
    <mergeCell ref="C388:D388"/>
    <mergeCell ref="C390:D390"/>
    <mergeCell ref="B315:E315"/>
    <mergeCell ref="C326:D326"/>
    <mergeCell ref="B327:D327"/>
    <mergeCell ref="B282:F282"/>
    <mergeCell ref="B283:F283"/>
    <mergeCell ref="B284:F284"/>
    <mergeCell ref="B287:G287"/>
    <mergeCell ref="C291:E291"/>
    <mergeCell ref="C292:E292"/>
    <mergeCell ref="B286:F286"/>
    <mergeCell ref="B285:F285"/>
    <mergeCell ref="B533:F533"/>
    <mergeCell ref="B562:F562"/>
    <mergeCell ref="B526:G526"/>
    <mergeCell ref="C528:D528"/>
    <mergeCell ref="C530:D530"/>
    <mergeCell ref="C531:D531"/>
    <mergeCell ref="B532:F532"/>
    <mergeCell ref="B545:G545"/>
    <mergeCell ref="C548:D548"/>
    <mergeCell ref="C549:D549"/>
    <mergeCell ref="C496:D496"/>
    <mergeCell ref="B459:G459"/>
    <mergeCell ref="C461:E461"/>
    <mergeCell ref="C486:D486"/>
    <mergeCell ref="C487:D487"/>
    <mergeCell ref="C488:D488"/>
    <mergeCell ref="B493:F493"/>
    <mergeCell ref="C472:D472"/>
    <mergeCell ref="C473:D473"/>
    <mergeCell ref="B489:F489"/>
    <mergeCell ref="C504:D504"/>
    <mergeCell ref="C498:D498"/>
    <mergeCell ref="B258:F258"/>
    <mergeCell ref="C427:D427"/>
    <mergeCell ref="C480:D480"/>
    <mergeCell ref="C481:D481"/>
    <mergeCell ref="C420:D420"/>
    <mergeCell ref="C421:D421"/>
    <mergeCell ref="B422:F422"/>
    <mergeCell ref="C479:D479"/>
    <mergeCell ref="C405:D405"/>
    <mergeCell ref="C407:D407"/>
    <mergeCell ref="B416:F416"/>
    <mergeCell ref="B415:F415"/>
    <mergeCell ref="C434:D434"/>
    <mergeCell ref="B490:F490"/>
    <mergeCell ref="B423:F423"/>
    <mergeCell ref="B432:G432"/>
    <mergeCell ref="C435:D435"/>
    <mergeCell ref="B424:G424"/>
    <mergeCell ref="B73:H73"/>
    <mergeCell ref="B74:H74"/>
    <mergeCell ref="C36:F36"/>
    <mergeCell ref="C37:E37"/>
    <mergeCell ref="C38:E38"/>
    <mergeCell ref="C39:F39"/>
    <mergeCell ref="B40:G40"/>
    <mergeCell ref="B41:G41"/>
    <mergeCell ref="C59:E59"/>
    <mergeCell ref="B42:G42"/>
    <mergeCell ref="C55:F55"/>
    <mergeCell ref="C30:F30"/>
    <mergeCell ref="C31:E31"/>
    <mergeCell ref="C32:E32"/>
    <mergeCell ref="C33:F33"/>
    <mergeCell ref="C34:F34"/>
    <mergeCell ref="C35:E35"/>
    <mergeCell ref="B44:H44"/>
    <mergeCell ref="B45:H45"/>
    <mergeCell ref="C47:F47"/>
    <mergeCell ref="B17:F17"/>
    <mergeCell ref="B18:F18"/>
    <mergeCell ref="C27:F27"/>
    <mergeCell ref="C28:F28"/>
    <mergeCell ref="C29:F29"/>
    <mergeCell ref="B26:H26"/>
    <mergeCell ref="B21:G21"/>
    <mergeCell ref="C22:D22"/>
    <mergeCell ref="C23:D23"/>
    <mergeCell ref="B25:F25"/>
    <mergeCell ref="B10:H10"/>
    <mergeCell ref="B11:H11"/>
    <mergeCell ref="B12:H12"/>
    <mergeCell ref="C13:F13"/>
    <mergeCell ref="C14:F14"/>
    <mergeCell ref="C15:F15"/>
    <mergeCell ref="C16:F16"/>
    <mergeCell ref="B19:F19"/>
    <mergeCell ref="B518:F518"/>
    <mergeCell ref="B524:F524"/>
    <mergeCell ref="B24:D24"/>
    <mergeCell ref="B20:G20"/>
    <mergeCell ref="C463:E463"/>
    <mergeCell ref="B71:H71"/>
    <mergeCell ref="H76:H77"/>
    <mergeCell ref="B80:G80"/>
    <mergeCell ref="G1:H1"/>
    <mergeCell ref="F2:H4"/>
    <mergeCell ref="B6:H6"/>
    <mergeCell ref="B7:H7"/>
    <mergeCell ref="B8:H8"/>
    <mergeCell ref="B9:H9"/>
    <mergeCell ref="B82:G82"/>
    <mergeCell ref="C84:D84"/>
    <mergeCell ref="B50:F50"/>
    <mergeCell ref="C64:F64"/>
    <mergeCell ref="C67:F67"/>
    <mergeCell ref="C60:E60"/>
    <mergeCell ref="B68:G68"/>
    <mergeCell ref="B69:G69"/>
    <mergeCell ref="C56:F56"/>
    <mergeCell ref="C57:F57"/>
    <mergeCell ref="C85:D85"/>
    <mergeCell ref="C86:D86"/>
    <mergeCell ref="D76:E76"/>
    <mergeCell ref="F76:G76"/>
    <mergeCell ref="B76:C76"/>
    <mergeCell ref="C93:E93"/>
    <mergeCell ref="C87:D87"/>
    <mergeCell ref="B88:D88"/>
    <mergeCell ref="B90:G90"/>
    <mergeCell ref="C92:E92"/>
    <mergeCell ref="C94:E94"/>
    <mergeCell ref="C95:E95"/>
    <mergeCell ref="C96:E96"/>
    <mergeCell ref="C97:E97"/>
    <mergeCell ref="C98:E98"/>
    <mergeCell ref="C99:E99"/>
    <mergeCell ref="C100:E100"/>
    <mergeCell ref="C101:E101"/>
    <mergeCell ref="C102:E102"/>
    <mergeCell ref="C103:E103"/>
    <mergeCell ref="C104:E104"/>
    <mergeCell ref="B105:E105"/>
    <mergeCell ref="B107:G107"/>
    <mergeCell ref="B109:G109"/>
    <mergeCell ref="C111:D111"/>
    <mergeCell ref="C112:D112"/>
    <mergeCell ref="C113:D113"/>
    <mergeCell ref="C114:D114"/>
    <mergeCell ref="B115:D115"/>
    <mergeCell ref="B117:G117"/>
    <mergeCell ref="B119:G119"/>
    <mergeCell ref="B120:G120"/>
    <mergeCell ref="B126:F126"/>
    <mergeCell ref="B128:G128"/>
    <mergeCell ref="B158:E158"/>
    <mergeCell ref="E130:F130"/>
    <mergeCell ref="E131:F131"/>
    <mergeCell ref="E132:F132"/>
    <mergeCell ref="E133:F133"/>
    <mergeCell ref="B134:F134"/>
    <mergeCell ref="B136:G136"/>
    <mergeCell ref="C185:E185"/>
    <mergeCell ref="B142:F142"/>
    <mergeCell ref="B144:G144"/>
    <mergeCell ref="C164:E164"/>
    <mergeCell ref="B165:F165"/>
    <mergeCell ref="B181:F181"/>
    <mergeCell ref="B167:G167"/>
    <mergeCell ref="C169:D169"/>
    <mergeCell ref="B150:E150"/>
    <mergeCell ref="B152:G152"/>
    <mergeCell ref="C202:D202"/>
    <mergeCell ref="B160:G160"/>
    <mergeCell ref="C162:E162"/>
    <mergeCell ref="C163:E163"/>
    <mergeCell ref="B190:F190"/>
    <mergeCell ref="C170:D170"/>
    <mergeCell ref="C171:D171"/>
    <mergeCell ref="C172:D172"/>
    <mergeCell ref="B173:F173"/>
    <mergeCell ref="B183:G183"/>
    <mergeCell ref="C178:E178"/>
    <mergeCell ref="C179:E179"/>
    <mergeCell ref="B180:F180"/>
    <mergeCell ref="C203:D203"/>
    <mergeCell ref="C186:E186"/>
    <mergeCell ref="C187:E187"/>
    <mergeCell ref="B189:F189"/>
    <mergeCell ref="B191:G191"/>
    <mergeCell ref="B197:F197"/>
    <mergeCell ref="B199:G199"/>
    <mergeCell ref="C193:D193"/>
    <mergeCell ref="C194:D194"/>
    <mergeCell ref="C188:E188"/>
    <mergeCell ref="C210:D210"/>
    <mergeCell ref="B215:G215"/>
    <mergeCell ref="C217:D217"/>
    <mergeCell ref="C195:D195"/>
    <mergeCell ref="C196:D196"/>
    <mergeCell ref="C204:D204"/>
    <mergeCell ref="C201:D201"/>
    <mergeCell ref="B223:F223"/>
    <mergeCell ref="B236:G236"/>
    <mergeCell ref="B237:G237"/>
    <mergeCell ref="B244:G244"/>
    <mergeCell ref="C249:E249"/>
    <mergeCell ref="B256:F256"/>
    <mergeCell ref="B238:G238"/>
    <mergeCell ref="B241:E241"/>
    <mergeCell ref="B242:E242"/>
    <mergeCell ref="B582:H582"/>
    <mergeCell ref="B492:F492"/>
    <mergeCell ref="C471:D471"/>
    <mergeCell ref="B465:G465"/>
    <mergeCell ref="C475:D475"/>
    <mergeCell ref="C474:D474"/>
    <mergeCell ref="B494:G494"/>
    <mergeCell ref="C505:D505"/>
    <mergeCell ref="C506:D506"/>
    <mergeCell ref="C507:D507"/>
    <mergeCell ref="B583:H583"/>
    <mergeCell ref="C232:E232"/>
    <mergeCell ref="C233:E233"/>
    <mergeCell ref="C234:E234"/>
    <mergeCell ref="C235:E235"/>
    <mergeCell ref="C451:D451"/>
    <mergeCell ref="C452:D452"/>
    <mergeCell ref="C453:D453"/>
    <mergeCell ref="C443:D443"/>
    <mergeCell ref="C470:D470"/>
    <mergeCell ref="C48:F48"/>
    <mergeCell ref="C49:F49"/>
    <mergeCell ref="B430:F430"/>
    <mergeCell ref="C65:E65"/>
    <mergeCell ref="C66:E66"/>
    <mergeCell ref="B205:F205"/>
    <mergeCell ref="B265:E265"/>
    <mergeCell ref="B417:G417"/>
    <mergeCell ref="C419:D419"/>
    <mergeCell ref="B53:G53"/>
    <mergeCell ref="B581:H581"/>
    <mergeCell ref="C444:D444"/>
    <mergeCell ref="C445:D445"/>
    <mergeCell ref="B446:F446"/>
    <mergeCell ref="B448:G448"/>
    <mergeCell ref="C508:D508"/>
    <mergeCell ref="C509:D509"/>
    <mergeCell ref="B501:G501"/>
    <mergeCell ref="C503:D503"/>
    <mergeCell ref="C497:D497"/>
    <mergeCell ref="B456:G456"/>
    <mergeCell ref="C429:D429"/>
    <mergeCell ref="B254:F254"/>
    <mergeCell ref="C247:E247"/>
    <mergeCell ref="C63:E63"/>
    <mergeCell ref="C250:E250"/>
    <mergeCell ref="B213:F213"/>
    <mergeCell ref="C219:D219"/>
    <mergeCell ref="C209:D209"/>
    <mergeCell ref="C218:D218"/>
    <mergeCell ref="B51:F51"/>
    <mergeCell ref="C450:D450"/>
    <mergeCell ref="B438:F438"/>
    <mergeCell ref="B440:G440"/>
    <mergeCell ref="C442:D442"/>
    <mergeCell ref="C436:D436"/>
    <mergeCell ref="C437:D437"/>
    <mergeCell ref="B207:G207"/>
    <mergeCell ref="C426:D426"/>
    <mergeCell ref="C428:D428"/>
    <mergeCell ref="B580:H580"/>
    <mergeCell ref="C228:E228"/>
    <mergeCell ref="C229:E229"/>
    <mergeCell ref="C230:E230"/>
    <mergeCell ref="C231:E231"/>
    <mergeCell ref="B579:H579"/>
    <mergeCell ref="C409:D409"/>
    <mergeCell ref="B259:F259"/>
    <mergeCell ref="C411:D411"/>
    <mergeCell ref="B519:G519"/>
    <mergeCell ref="B578:H578"/>
    <mergeCell ref="C522:D522"/>
    <mergeCell ref="B257:F257"/>
    <mergeCell ref="B260:F260"/>
    <mergeCell ref="B511:G511"/>
    <mergeCell ref="C520:D520"/>
    <mergeCell ref="B523:F523"/>
    <mergeCell ref="C521:D521"/>
    <mergeCell ref="B510:F510"/>
    <mergeCell ref="B499:F499"/>
    <mergeCell ref="C211:D211"/>
    <mergeCell ref="B464:G464"/>
    <mergeCell ref="B224:G224"/>
    <mergeCell ref="B454:F454"/>
    <mergeCell ref="B273:G273"/>
    <mergeCell ref="B275:H275"/>
    <mergeCell ref="B266:H266"/>
    <mergeCell ref="B267:H267"/>
    <mergeCell ref="B268:H268"/>
    <mergeCell ref="C462:E462"/>
    <mergeCell ref="C596:E596"/>
    <mergeCell ref="C594:F594"/>
    <mergeCell ref="C595:F595"/>
    <mergeCell ref="B584:H584"/>
    <mergeCell ref="C585:F585"/>
    <mergeCell ref="C586:F586"/>
    <mergeCell ref="C587:F587"/>
    <mergeCell ref="B588:F588"/>
    <mergeCell ref="B589:F589"/>
    <mergeCell ref="B590:G590"/>
    <mergeCell ref="B812:H812"/>
    <mergeCell ref="C604:F604"/>
    <mergeCell ref="B605:G605"/>
    <mergeCell ref="B606:G606"/>
    <mergeCell ref="B609:H609"/>
    <mergeCell ref="C611:F611"/>
    <mergeCell ref="C612:F612"/>
    <mergeCell ref="C613:F613"/>
    <mergeCell ref="B614:F614"/>
    <mergeCell ref="B615:F615"/>
    <mergeCell ref="C836:E836"/>
    <mergeCell ref="C829:E829"/>
    <mergeCell ref="C830:E830"/>
    <mergeCell ref="C833:E833"/>
    <mergeCell ref="B813:H813"/>
    <mergeCell ref="B814:H814"/>
    <mergeCell ref="B815:H815"/>
    <mergeCell ref="B816:H816"/>
    <mergeCell ref="B817:H817"/>
    <mergeCell ref="C818:F818"/>
    <mergeCell ref="C835:E835"/>
    <mergeCell ref="C819:F819"/>
    <mergeCell ref="C820:F820"/>
    <mergeCell ref="B821:F821"/>
    <mergeCell ref="B822:F822"/>
    <mergeCell ref="B824:H824"/>
    <mergeCell ref="C834:F834"/>
    <mergeCell ref="B823:G823"/>
    <mergeCell ref="C826:F826"/>
    <mergeCell ref="C827:F827"/>
    <mergeCell ref="B591:H591"/>
    <mergeCell ref="C592:F592"/>
    <mergeCell ref="C593:F593"/>
    <mergeCell ref="C248:E248"/>
    <mergeCell ref="C246:E246"/>
    <mergeCell ref="C252:E252"/>
    <mergeCell ref="B404:G404"/>
    <mergeCell ref="B255:F255"/>
    <mergeCell ref="C251:E251"/>
    <mergeCell ref="C253:E253"/>
    <mergeCell ref="C831:F831"/>
    <mergeCell ref="C832:F832"/>
    <mergeCell ref="B43:G43"/>
    <mergeCell ref="B175:G175"/>
    <mergeCell ref="C177:E177"/>
    <mergeCell ref="C603:E603"/>
    <mergeCell ref="B811:H811"/>
    <mergeCell ref="B607:G607"/>
    <mergeCell ref="B608:H608"/>
    <mergeCell ref="C597:E597"/>
    <mergeCell ref="C600:E600"/>
    <mergeCell ref="C602:E602"/>
    <mergeCell ref="C598:F598"/>
    <mergeCell ref="C599:F599"/>
    <mergeCell ref="C601:F601"/>
    <mergeCell ref="B617:G617"/>
    <mergeCell ref="C619:F619"/>
    <mergeCell ref="C620:F620"/>
    <mergeCell ref="C621:F621"/>
    <mergeCell ref="C622:F622"/>
    <mergeCell ref="C623:E623"/>
    <mergeCell ref="C624:E624"/>
    <mergeCell ref="C625:F625"/>
    <mergeCell ref="C626:F626"/>
    <mergeCell ref="C627:E627"/>
    <mergeCell ref="C628:F628"/>
    <mergeCell ref="C629:E629"/>
    <mergeCell ref="C630:E630"/>
    <mergeCell ref="H640:H641"/>
    <mergeCell ref="B644:G644"/>
    <mergeCell ref="B646:G646"/>
    <mergeCell ref="C631:F631"/>
    <mergeCell ref="B632:G632"/>
    <mergeCell ref="B633:G633"/>
    <mergeCell ref="B635:H635"/>
    <mergeCell ref="B637:H637"/>
    <mergeCell ref="B638:H638"/>
    <mergeCell ref="B673:G673"/>
    <mergeCell ref="C648:D648"/>
    <mergeCell ref="C649:D649"/>
    <mergeCell ref="C650:D650"/>
    <mergeCell ref="C651:D651"/>
    <mergeCell ref="B652:D652"/>
    <mergeCell ref="B654:G654"/>
    <mergeCell ref="C667:E667"/>
    <mergeCell ref="C656:E656"/>
    <mergeCell ref="C657:E657"/>
    <mergeCell ref="C675:D675"/>
    <mergeCell ref="C661:E661"/>
    <mergeCell ref="C662:E662"/>
    <mergeCell ref="C663:E663"/>
    <mergeCell ref="C664:E664"/>
    <mergeCell ref="C665:E665"/>
    <mergeCell ref="C666:E666"/>
    <mergeCell ref="C668:E668"/>
    <mergeCell ref="B669:E669"/>
    <mergeCell ref="B671:G671"/>
    <mergeCell ref="E696:F696"/>
    <mergeCell ref="C676:D676"/>
    <mergeCell ref="C677:D677"/>
    <mergeCell ref="C678:D678"/>
    <mergeCell ref="B679:D679"/>
    <mergeCell ref="B690:F690"/>
    <mergeCell ref="B692:G692"/>
    <mergeCell ref="B716:G716"/>
    <mergeCell ref="B722:E722"/>
    <mergeCell ref="B724:G724"/>
    <mergeCell ref="C726:E726"/>
    <mergeCell ref="C727:E727"/>
    <mergeCell ref="C728:E728"/>
    <mergeCell ref="B729:F729"/>
    <mergeCell ref="B731:G731"/>
    <mergeCell ref="C733:D733"/>
    <mergeCell ref="C734:D734"/>
    <mergeCell ref="C735:D735"/>
    <mergeCell ref="C736:D736"/>
    <mergeCell ref="B737:F737"/>
    <mergeCell ref="B739:G739"/>
    <mergeCell ref="C741:E741"/>
    <mergeCell ref="C742:E742"/>
    <mergeCell ref="C743:E743"/>
    <mergeCell ref="B744:F744"/>
    <mergeCell ref="B745:F745"/>
    <mergeCell ref="B747:G747"/>
    <mergeCell ref="C749:E749"/>
    <mergeCell ref="C750:E750"/>
    <mergeCell ref="C751:E751"/>
    <mergeCell ref="C752:E752"/>
    <mergeCell ref="B753:F753"/>
    <mergeCell ref="B754:F754"/>
    <mergeCell ref="B755:G755"/>
    <mergeCell ref="C757:D757"/>
    <mergeCell ref="C758:D758"/>
    <mergeCell ref="C759:D759"/>
    <mergeCell ref="C760:D760"/>
    <mergeCell ref="B761:F761"/>
    <mergeCell ref="B763:G763"/>
    <mergeCell ref="C765:D765"/>
    <mergeCell ref="C766:D766"/>
    <mergeCell ref="C767:D767"/>
    <mergeCell ref="C783:D783"/>
    <mergeCell ref="C768:D768"/>
    <mergeCell ref="B769:F769"/>
    <mergeCell ref="B771:G771"/>
    <mergeCell ref="C773:D773"/>
    <mergeCell ref="C774:D774"/>
    <mergeCell ref="C775:D775"/>
    <mergeCell ref="B777:F777"/>
    <mergeCell ref="C792:E792"/>
    <mergeCell ref="C793:E793"/>
    <mergeCell ref="C794:E794"/>
    <mergeCell ref="C795:E795"/>
    <mergeCell ref="C796:E796"/>
    <mergeCell ref="C797:E797"/>
    <mergeCell ref="C798:E798"/>
    <mergeCell ref="C799:E799"/>
    <mergeCell ref="B800:G800"/>
    <mergeCell ref="B801:G801"/>
    <mergeCell ref="B802:G802"/>
    <mergeCell ref="C804:E804"/>
    <mergeCell ref="C805:E805"/>
    <mergeCell ref="C806:E806"/>
    <mergeCell ref="B807:F807"/>
    <mergeCell ref="B808:F808"/>
    <mergeCell ref="B841:G841"/>
    <mergeCell ref="C837:F837"/>
    <mergeCell ref="B838:G838"/>
    <mergeCell ref="B839:G839"/>
    <mergeCell ref="C825:F825"/>
    <mergeCell ref="C828:F828"/>
    <mergeCell ref="B842:H842"/>
    <mergeCell ref="B843:H843"/>
    <mergeCell ref="C845:F845"/>
    <mergeCell ref="C846:F846"/>
    <mergeCell ref="C847:F847"/>
    <mergeCell ref="B848:F848"/>
    <mergeCell ref="B849:F849"/>
    <mergeCell ref="B851:G851"/>
    <mergeCell ref="C853:F853"/>
    <mergeCell ref="C854:F854"/>
    <mergeCell ref="C855:F855"/>
    <mergeCell ref="C856:F856"/>
    <mergeCell ref="C857:E857"/>
    <mergeCell ref="C858:E858"/>
    <mergeCell ref="C859:F859"/>
    <mergeCell ref="C860:F860"/>
    <mergeCell ref="C861:E861"/>
    <mergeCell ref="C862:F862"/>
    <mergeCell ref="C863:E863"/>
    <mergeCell ref="C864:E864"/>
    <mergeCell ref="C865:F865"/>
    <mergeCell ref="B866:G866"/>
    <mergeCell ref="B867:G867"/>
    <mergeCell ref="B869:H869"/>
    <mergeCell ref="B871:H871"/>
    <mergeCell ref="B872:H872"/>
    <mergeCell ref="B874:C874"/>
    <mergeCell ref="D874:E874"/>
    <mergeCell ref="F874:G874"/>
    <mergeCell ref="H874:H875"/>
    <mergeCell ref="B878:G878"/>
    <mergeCell ref="B880:G880"/>
    <mergeCell ref="C882:D882"/>
    <mergeCell ref="C883:D883"/>
    <mergeCell ref="C884:D884"/>
    <mergeCell ref="C885:D885"/>
    <mergeCell ref="B886:D886"/>
    <mergeCell ref="B888:G888"/>
    <mergeCell ref="C890:E890"/>
    <mergeCell ref="C891:E891"/>
    <mergeCell ref="C892:E892"/>
    <mergeCell ref="C893:E893"/>
    <mergeCell ref="B907:G907"/>
    <mergeCell ref="C894:E894"/>
    <mergeCell ref="C895:E895"/>
    <mergeCell ref="C896:E896"/>
    <mergeCell ref="C897:E897"/>
    <mergeCell ref="C898:E898"/>
    <mergeCell ref="C899:E899"/>
    <mergeCell ref="B934:G934"/>
    <mergeCell ref="C909:D909"/>
    <mergeCell ref="C910:D910"/>
    <mergeCell ref="C911:D911"/>
    <mergeCell ref="C912:D912"/>
    <mergeCell ref="C900:E900"/>
    <mergeCell ref="C901:E901"/>
    <mergeCell ref="C902:E902"/>
    <mergeCell ref="B903:E903"/>
    <mergeCell ref="B905:G905"/>
    <mergeCell ref="C994:D994"/>
    <mergeCell ref="B995:F995"/>
    <mergeCell ref="B956:E956"/>
    <mergeCell ref="B958:G958"/>
    <mergeCell ref="C960:E960"/>
    <mergeCell ref="C961:E961"/>
    <mergeCell ref="C975:E975"/>
    <mergeCell ref="B973:G973"/>
    <mergeCell ref="B971:F971"/>
    <mergeCell ref="C977:E977"/>
    <mergeCell ref="C1007:D1007"/>
    <mergeCell ref="C1008:D1008"/>
    <mergeCell ref="C999:D999"/>
    <mergeCell ref="C1000:D1000"/>
    <mergeCell ref="C986:E986"/>
    <mergeCell ref="B987:F987"/>
    <mergeCell ref="B988:F988"/>
    <mergeCell ref="B989:G989"/>
    <mergeCell ref="C991:D991"/>
    <mergeCell ref="C992:D992"/>
    <mergeCell ref="B1036:G1036"/>
    <mergeCell ref="C1025:E1025"/>
    <mergeCell ref="C1026:E1026"/>
    <mergeCell ref="C1027:E1027"/>
    <mergeCell ref="C1028:E1028"/>
    <mergeCell ref="C1029:E1029"/>
    <mergeCell ref="C1030:E1030"/>
    <mergeCell ref="C1038:E1038"/>
    <mergeCell ref="C1039:E1039"/>
    <mergeCell ref="C1040:E1040"/>
    <mergeCell ref="B1041:F1041"/>
    <mergeCell ref="B1042:F1042"/>
    <mergeCell ref="C1031:E1031"/>
    <mergeCell ref="C1032:E1032"/>
    <mergeCell ref="C1033:E1033"/>
    <mergeCell ref="B1034:G1034"/>
    <mergeCell ref="B1035:G1035"/>
    <mergeCell ref="C58:F58"/>
    <mergeCell ref="C62:F62"/>
    <mergeCell ref="B264:E264"/>
    <mergeCell ref="C61:F61"/>
    <mergeCell ref="C220:D220"/>
    <mergeCell ref="B261:G261"/>
    <mergeCell ref="B221:F221"/>
    <mergeCell ref="C212:D212"/>
    <mergeCell ref="C226:E226"/>
    <mergeCell ref="C227:E227"/>
    <mergeCell ref="C976:E976"/>
    <mergeCell ref="C1017:D1017"/>
    <mergeCell ref="C1018:D1018"/>
    <mergeCell ref="C1009:D1009"/>
    <mergeCell ref="C1010:D1010"/>
    <mergeCell ref="B1011:F1011"/>
    <mergeCell ref="B1013:G1013"/>
    <mergeCell ref="C1015:D1015"/>
    <mergeCell ref="C1016:D1016"/>
    <mergeCell ref="C984:E984"/>
    <mergeCell ref="C983:E983"/>
    <mergeCell ref="C985:E985"/>
    <mergeCell ref="C1024:E1024"/>
    <mergeCell ref="B1022:G1022"/>
    <mergeCell ref="B1021:F1021"/>
    <mergeCell ref="B1019:F1019"/>
    <mergeCell ref="C1001:D1001"/>
    <mergeCell ref="C1002:D1002"/>
    <mergeCell ref="B1003:F1003"/>
    <mergeCell ref="B1005:G1005"/>
    <mergeCell ref="C968:D968"/>
    <mergeCell ref="C969:D969"/>
    <mergeCell ref="B948:E948"/>
    <mergeCell ref="B942:G942"/>
    <mergeCell ref="B940:F940"/>
    <mergeCell ref="C993:D993"/>
    <mergeCell ref="B950:G950"/>
    <mergeCell ref="B978:F978"/>
    <mergeCell ref="B979:F979"/>
    <mergeCell ref="B981:G981"/>
    <mergeCell ref="C791:E791"/>
    <mergeCell ref="E928:F928"/>
    <mergeCell ref="E929:F929"/>
    <mergeCell ref="B997:G997"/>
    <mergeCell ref="C970:D970"/>
    <mergeCell ref="C962:E962"/>
    <mergeCell ref="B963:F963"/>
    <mergeCell ref="B965:G965"/>
    <mergeCell ref="B932:F932"/>
    <mergeCell ref="C967:D967"/>
    <mergeCell ref="B915:G915"/>
    <mergeCell ref="B913:D913"/>
    <mergeCell ref="E930:F930"/>
    <mergeCell ref="E931:F931"/>
    <mergeCell ref="B917:G917"/>
    <mergeCell ref="B918:G918"/>
    <mergeCell ref="B924:F924"/>
    <mergeCell ref="B926:G926"/>
    <mergeCell ref="C790:E790"/>
    <mergeCell ref="B788:G788"/>
    <mergeCell ref="B787:F787"/>
    <mergeCell ref="B785:F785"/>
    <mergeCell ref="B714:E714"/>
    <mergeCell ref="C784:D784"/>
    <mergeCell ref="C776:D776"/>
    <mergeCell ref="B779:G779"/>
    <mergeCell ref="C781:D781"/>
    <mergeCell ref="C782:D782"/>
    <mergeCell ref="B708:G708"/>
    <mergeCell ref="B706:F706"/>
    <mergeCell ref="B700:G700"/>
    <mergeCell ref="B698:F698"/>
    <mergeCell ref="B683:G683"/>
    <mergeCell ref="B681:G681"/>
    <mergeCell ref="E697:F697"/>
    <mergeCell ref="B684:G684"/>
    <mergeCell ref="E694:F694"/>
    <mergeCell ref="E695:F695"/>
    <mergeCell ref="C658:E658"/>
    <mergeCell ref="C659:E659"/>
    <mergeCell ref="C660:E660"/>
    <mergeCell ref="B640:C640"/>
    <mergeCell ref="D640:E640"/>
    <mergeCell ref="F640:G640"/>
    <mergeCell ref="B485:G485"/>
    <mergeCell ref="B482:F482"/>
    <mergeCell ref="B477:G477"/>
    <mergeCell ref="B476:F476"/>
    <mergeCell ref="B467:G467"/>
    <mergeCell ref="C469:D469"/>
    <mergeCell ref="B484:F484"/>
    <mergeCell ref="B269:C269"/>
    <mergeCell ref="D269:E269"/>
    <mergeCell ref="F269:G269"/>
    <mergeCell ref="H269:H270"/>
    <mergeCell ref="B276:H276"/>
    <mergeCell ref="B274:G274"/>
    <mergeCell ref="C294:E294"/>
    <mergeCell ref="C295:E295"/>
    <mergeCell ref="C277:F277"/>
    <mergeCell ref="C278:F278"/>
    <mergeCell ref="C279:F279"/>
    <mergeCell ref="B288:G288"/>
    <mergeCell ref="C289:E289"/>
    <mergeCell ref="C290:E290"/>
    <mergeCell ref="C281:F281"/>
    <mergeCell ref="C280:F280"/>
    <mergeCell ref="C297:E297"/>
    <mergeCell ref="C298:E298"/>
    <mergeCell ref="C299:E299"/>
    <mergeCell ref="C300:E300"/>
    <mergeCell ref="C301:E301"/>
    <mergeCell ref="B302:E302"/>
    <mergeCell ref="B304:G304"/>
    <mergeCell ref="B306:G306"/>
    <mergeCell ref="C324:D324"/>
    <mergeCell ref="C308:E308"/>
    <mergeCell ref="C309:E309"/>
    <mergeCell ref="C310:E310"/>
    <mergeCell ref="C311:E311"/>
    <mergeCell ref="C312:E312"/>
    <mergeCell ref="B316:G316"/>
    <mergeCell ref="B314:E314"/>
    <mergeCell ref="B331:G331"/>
    <mergeCell ref="B318:G318"/>
    <mergeCell ref="B319:G319"/>
    <mergeCell ref="C321:D321"/>
    <mergeCell ref="C322:D322"/>
    <mergeCell ref="C323:D323"/>
    <mergeCell ref="B330:G330"/>
    <mergeCell ref="B328:E328"/>
    <mergeCell ref="B329:E329"/>
    <mergeCell ref="C325:D325"/>
    <mergeCell ref="C344:D344"/>
    <mergeCell ref="C345:D345"/>
    <mergeCell ref="B332:G332"/>
    <mergeCell ref="E334:F334"/>
    <mergeCell ref="E335:F335"/>
    <mergeCell ref="E336:F336"/>
    <mergeCell ref="E337:F337"/>
    <mergeCell ref="C342:D342"/>
    <mergeCell ref="C366:E366"/>
    <mergeCell ref="C346:D346"/>
    <mergeCell ref="C347:D347"/>
    <mergeCell ref="C348:D348"/>
    <mergeCell ref="B349:F349"/>
    <mergeCell ref="C350:D350"/>
    <mergeCell ref="C370:E370"/>
    <mergeCell ref="J370:K370"/>
    <mergeCell ref="C351:D351"/>
    <mergeCell ref="C352:D352"/>
    <mergeCell ref="C353:D353"/>
    <mergeCell ref="B354:F354"/>
    <mergeCell ref="B355:F355"/>
    <mergeCell ref="B357:G357"/>
    <mergeCell ref="B363:E363"/>
    <mergeCell ref="B365:G365"/>
    <mergeCell ref="B313:E313"/>
    <mergeCell ref="B364:F364"/>
    <mergeCell ref="C368:E368"/>
    <mergeCell ref="J368:K368"/>
    <mergeCell ref="C369:E369"/>
    <mergeCell ref="J369:K369"/>
    <mergeCell ref="B338:F338"/>
    <mergeCell ref="B340:G340"/>
    <mergeCell ref="C341:D341"/>
    <mergeCell ref="C343:D343"/>
    <mergeCell ref="C383:D383"/>
    <mergeCell ref="C367:E367"/>
    <mergeCell ref="J367:K367"/>
    <mergeCell ref="C406:D406"/>
    <mergeCell ref="C529:D529"/>
    <mergeCell ref="C371:E371"/>
    <mergeCell ref="C372:E372"/>
    <mergeCell ref="B378:G378"/>
    <mergeCell ref="B381:G381"/>
    <mergeCell ref="B399:F399"/>
    <mergeCell ref="B402:F402"/>
    <mergeCell ref="B387:F387"/>
    <mergeCell ref="B389:F389"/>
    <mergeCell ref="B394:F394"/>
    <mergeCell ref="B398:F398"/>
    <mergeCell ref="B403:F403"/>
    <mergeCell ref="B400:F400"/>
    <mergeCell ref="C397:D397"/>
    <mergeCell ref="B401:F401"/>
    <mergeCell ref="C391:D391"/>
    <mergeCell ref="B500:F500"/>
    <mergeCell ref="C552:D552"/>
    <mergeCell ref="C553:D553"/>
    <mergeCell ref="C554:D554"/>
    <mergeCell ref="C555:D555"/>
    <mergeCell ref="C556:D556"/>
    <mergeCell ref="C513:D513"/>
    <mergeCell ref="C514:D514"/>
    <mergeCell ref="C515:D515"/>
    <mergeCell ref="B516:F516"/>
    <mergeCell ref="C573:D573"/>
    <mergeCell ref="C558:D558"/>
    <mergeCell ref="C559:D559"/>
    <mergeCell ref="C568:D568"/>
    <mergeCell ref="C569:D569"/>
    <mergeCell ref="C570:D570"/>
    <mergeCell ref="C571:D571"/>
    <mergeCell ref="C572:D572"/>
    <mergeCell ref="C565:D565"/>
    <mergeCell ref="C566:D566"/>
    <mergeCell ref="B542:F542"/>
    <mergeCell ref="B543:F543"/>
    <mergeCell ref="B544:F544"/>
    <mergeCell ref="C540:D540"/>
    <mergeCell ref="B534:G534"/>
    <mergeCell ref="C536:D536"/>
    <mergeCell ref="C537:D537"/>
    <mergeCell ref="C538:D538"/>
    <mergeCell ref="B539:F539"/>
    <mergeCell ref="B541:F541"/>
  </mergeCells>
  <printOptions/>
  <pageMargins left="0.1968503937007874" right="0.1968503937007874" top="0.1968503937007874" bottom="0.1968503937007874" header="0.31496062992125984" footer="0.31496062992125984"/>
  <pageSetup fitToHeight="0" fitToWidth="1" horizontalDpi="600" verticalDpi="600" orientation="portrait" paperSize="9" scale="75" r:id="rId1"/>
  <rowBreaks count="2" manualBreakCount="2">
    <brk id="576" max="7" man="1"/>
    <brk id="809" max="7" man="1"/>
  </rowBreaks>
</worksheet>
</file>

<file path=xl/worksheets/sheet1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K524"/>
  <sheetViews>
    <sheetView view="pageBreakPreview" zoomScale="80" zoomScaleNormal="80" zoomScaleSheetLayoutView="80" zoomScalePageLayoutView="0" workbookViewId="0" topLeftCell="A5">
      <selection activeCell="B401" sqref="B401:H401"/>
    </sheetView>
  </sheetViews>
  <sheetFormatPr defaultColWidth="9.140625" defaultRowHeight="15"/>
  <cols>
    <col min="1" max="1" width="4.8515625" style="131" customWidth="1"/>
    <col min="2" max="2" width="15.140625" style="147" customWidth="1"/>
    <col min="3" max="3" width="27.8515625" style="147" customWidth="1"/>
    <col min="4" max="4" width="20.28125" style="147" customWidth="1"/>
    <col min="5" max="5" width="19.7109375" style="147" customWidth="1"/>
    <col min="6" max="6" width="16.8515625" style="147" customWidth="1"/>
    <col min="7" max="7" width="17.7109375" style="147" customWidth="1"/>
    <col min="8" max="8" width="14.28125" style="131" customWidth="1"/>
    <col min="9" max="16384" width="9.140625" style="6" customWidth="1"/>
  </cols>
  <sheetData>
    <row r="1" spans="7:8" ht="15" hidden="1">
      <c r="G1" s="589" t="s">
        <v>217</v>
      </c>
      <c r="H1" s="589"/>
    </row>
    <row r="2" spans="2:8" ht="15.75" customHeight="1" hidden="1">
      <c r="B2" s="131"/>
      <c r="C2" s="131"/>
      <c r="D2" s="131"/>
      <c r="E2" s="131"/>
      <c r="F2" s="590" t="s">
        <v>218</v>
      </c>
      <c r="G2" s="590"/>
      <c r="H2" s="590"/>
    </row>
    <row r="3" spans="2:8" ht="15" hidden="1">
      <c r="B3" s="131"/>
      <c r="C3" s="131"/>
      <c r="D3" s="131"/>
      <c r="E3" s="131"/>
      <c r="F3" s="590"/>
      <c r="G3" s="590"/>
      <c r="H3" s="590"/>
    </row>
    <row r="4" spans="2:8" ht="49.5" customHeight="1" hidden="1">
      <c r="B4" s="131"/>
      <c r="C4" s="131"/>
      <c r="D4" s="131"/>
      <c r="E4" s="131"/>
      <c r="F4" s="590"/>
      <c r="G4" s="590"/>
      <c r="H4" s="590"/>
    </row>
    <row r="5" spans="2:7" ht="14.25" customHeight="1">
      <c r="B5" s="131"/>
      <c r="C5" s="131"/>
      <c r="D5" s="131"/>
      <c r="E5" s="131"/>
      <c r="F5" s="148"/>
      <c r="G5" s="265" t="str">
        <f>'Пр.1Титульный лист'!L15</f>
        <v>22.12.2023</v>
      </c>
    </row>
    <row r="6" spans="2:8" ht="15">
      <c r="B6" s="577" t="s">
        <v>712</v>
      </c>
      <c r="C6" s="577"/>
      <c r="D6" s="577"/>
      <c r="E6" s="577"/>
      <c r="F6" s="577"/>
      <c r="G6" s="577"/>
      <c r="H6" s="577"/>
    </row>
    <row r="7" spans="2:8" ht="15">
      <c r="B7" s="577" t="s">
        <v>13</v>
      </c>
      <c r="C7" s="577"/>
      <c r="D7" s="577"/>
      <c r="E7" s="577"/>
      <c r="F7" s="577"/>
      <c r="G7" s="577"/>
      <c r="H7" s="577"/>
    </row>
    <row r="8" spans="2:8" ht="15">
      <c r="B8" s="591" t="s">
        <v>975</v>
      </c>
      <c r="C8" s="577"/>
      <c r="D8" s="577"/>
      <c r="E8" s="577"/>
      <c r="F8" s="577"/>
      <c r="G8" s="577"/>
      <c r="H8" s="577"/>
    </row>
    <row r="9" spans="2:8" ht="15" customHeight="1">
      <c r="B9" s="594" t="s">
        <v>604</v>
      </c>
      <c r="C9" s="594"/>
      <c r="D9" s="594"/>
      <c r="E9" s="594"/>
      <c r="F9" s="594"/>
      <c r="G9" s="594"/>
      <c r="H9" s="594"/>
    </row>
    <row r="10" spans="2:8" ht="15" hidden="1">
      <c r="B10" s="577" t="s">
        <v>259</v>
      </c>
      <c r="C10" s="577"/>
      <c r="D10" s="577"/>
      <c r="E10" s="577"/>
      <c r="F10" s="577"/>
      <c r="G10" s="577"/>
      <c r="H10" s="577"/>
    </row>
    <row r="11" ht="15.75" customHeight="1" hidden="1"/>
    <row r="12" spans="2:8" ht="15" hidden="1">
      <c r="B12" s="595" t="s">
        <v>219</v>
      </c>
      <c r="C12" s="595"/>
      <c r="D12" s="595"/>
      <c r="E12" s="595"/>
      <c r="F12" s="595"/>
      <c r="G12" s="595"/>
      <c r="H12" s="595"/>
    </row>
    <row r="13" spans="2:8" ht="15" hidden="1">
      <c r="B13" s="577" t="s">
        <v>261</v>
      </c>
      <c r="C13" s="577"/>
      <c r="D13" s="577"/>
      <c r="E13" s="577"/>
      <c r="F13" s="577"/>
      <c r="G13" s="577"/>
      <c r="H13" s="577"/>
    </row>
    <row r="14" ht="15" hidden="1"/>
    <row r="15" spans="2:8" ht="48" customHeight="1" hidden="1">
      <c r="B15" s="592" t="s">
        <v>14</v>
      </c>
      <c r="C15" s="593"/>
      <c r="D15" s="592" t="s">
        <v>19</v>
      </c>
      <c r="E15" s="593"/>
      <c r="F15" s="592" t="s">
        <v>20</v>
      </c>
      <c r="G15" s="593"/>
      <c r="H15" s="596" t="s">
        <v>15</v>
      </c>
    </row>
    <row r="16" spans="2:8" ht="15" hidden="1">
      <c r="B16" s="152" t="s">
        <v>16</v>
      </c>
      <c r="C16" s="152" t="s">
        <v>17</v>
      </c>
      <c r="D16" s="152" t="s">
        <v>16</v>
      </c>
      <c r="E16" s="152" t="s">
        <v>17</v>
      </c>
      <c r="F16" s="152" t="s">
        <v>16</v>
      </c>
      <c r="G16" s="152" t="s">
        <v>17</v>
      </c>
      <c r="H16" s="597"/>
    </row>
    <row r="17" spans="2:8" ht="15" hidden="1">
      <c r="B17" s="152">
        <v>1</v>
      </c>
      <c r="C17" s="152">
        <v>2</v>
      </c>
      <c r="D17" s="152">
        <v>3</v>
      </c>
      <c r="E17" s="152">
        <v>4</v>
      </c>
      <c r="F17" s="152">
        <v>5</v>
      </c>
      <c r="G17" s="152">
        <v>6</v>
      </c>
      <c r="H17" s="153">
        <v>7</v>
      </c>
    </row>
    <row r="18" spans="2:8" ht="17.25" customHeight="1" hidden="1">
      <c r="B18" s="154"/>
      <c r="C18" s="154"/>
      <c r="D18" s="155"/>
      <c r="E18" s="155"/>
      <c r="F18" s="155"/>
      <c r="G18" s="155"/>
      <c r="H18" s="156"/>
    </row>
    <row r="19" spans="2:8" ht="15" hidden="1">
      <c r="B19" s="598" t="s">
        <v>233</v>
      </c>
      <c r="C19" s="599"/>
      <c r="D19" s="599"/>
      <c r="E19" s="599"/>
      <c r="F19" s="599"/>
      <c r="G19" s="600"/>
      <c r="H19" s="157">
        <f>H18</f>
        <v>0</v>
      </c>
    </row>
    <row r="20" spans="2:8" ht="15" hidden="1">
      <c r="B20" s="185"/>
      <c r="C20" s="185"/>
      <c r="D20" s="185"/>
      <c r="E20" s="185"/>
      <c r="F20" s="185"/>
      <c r="G20" s="185"/>
      <c r="H20" s="186"/>
    </row>
    <row r="21" spans="1:8" s="8" customFormat="1" ht="18" customHeight="1" hidden="1">
      <c r="A21" s="147"/>
      <c r="B21" s="582" t="s">
        <v>260</v>
      </c>
      <c r="C21" s="582"/>
      <c r="D21" s="582"/>
      <c r="E21" s="582"/>
      <c r="F21" s="582"/>
      <c r="G21" s="582"/>
      <c r="H21" s="163"/>
    </row>
    <row r="22" spans="1:8" s="8" customFormat="1" ht="15" hidden="1">
      <c r="A22" s="147"/>
      <c r="B22" s="163"/>
      <c r="C22" s="163"/>
      <c r="D22" s="164"/>
      <c r="E22" s="163"/>
      <c r="F22" s="163"/>
      <c r="G22" s="163"/>
      <c r="H22" s="163"/>
    </row>
    <row r="23" spans="1:8" s="8" customFormat="1" ht="30.75" hidden="1">
      <c r="A23" s="147"/>
      <c r="B23" s="50" t="s">
        <v>33</v>
      </c>
      <c r="C23" s="533" t="s">
        <v>40</v>
      </c>
      <c r="D23" s="535"/>
      <c r="E23" s="50" t="s">
        <v>45</v>
      </c>
      <c r="F23" s="50" t="s">
        <v>46</v>
      </c>
      <c r="G23" s="50" t="s">
        <v>47</v>
      </c>
      <c r="H23" s="163"/>
    </row>
    <row r="24" spans="1:8" s="8" customFormat="1" ht="15" hidden="1">
      <c r="A24" s="147"/>
      <c r="B24" s="50">
        <v>1</v>
      </c>
      <c r="C24" s="533">
        <v>2</v>
      </c>
      <c r="D24" s="535"/>
      <c r="E24" s="50">
        <v>2</v>
      </c>
      <c r="F24" s="50">
        <v>4</v>
      </c>
      <c r="G24" s="50">
        <v>5</v>
      </c>
      <c r="H24" s="163"/>
    </row>
    <row r="25" spans="1:8" s="8" customFormat="1" ht="15" hidden="1">
      <c r="A25" s="147"/>
      <c r="B25" s="50"/>
      <c r="C25" s="533"/>
      <c r="D25" s="535"/>
      <c r="E25" s="50"/>
      <c r="F25" s="50"/>
      <c r="G25" s="50"/>
      <c r="H25" s="163"/>
    </row>
    <row r="26" spans="1:8" s="8" customFormat="1" ht="17.25" customHeight="1" hidden="1">
      <c r="A26" s="147"/>
      <c r="B26" s="50"/>
      <c r="C26" s="609"/>
      <c r="D26" s="611"/>
      <c r="E26" s="50"/>
      <c r="F26" s="169"/>
      <c r="G26" s="123"/>
      <c r="H26" s="163"/>
    </row>
    <row r="27" spans="1:8" s="8" customFormat="1" ht="15" hidden="1">
      <c r="A27" s="147"/>
      <c r="B27" s="585" t="s">
        <v>222</v>
      </c>
      <c r="C27" s="586"/>
      <c r="D27" s="587"/>
      <c r="E27" s="50" t="s">
        <v>35</v>
      </c>
      <c r="F27" s="170" t="s">
        <v>35</v>
      </c>
      <c r="G27" s="122">
        <f>SUM(G26:G26)</f>
        <v>0</v>
      </c>
      <c r="H27" s="163"/>
    </row>
    <row r="28" spans="2:8" ht="15" hidden="1">
      <c r="B28" s="185"/>
      <c r="C28" s="185"/>
      <c r="D28" s="185"/>
      <c r="E28" s="185"/>
      <c r="F28" s="185"/>
      <c r="G28" s="185"/>
      <c r="H28" s="186"/>
    </row>
    <row r="29" spans="2:8" ht="63" customHeight="1" hidden="1">
      <c r="B29" s="577" t="s">
        <v>262</v>
      </c>
      <c r="C29" s="577"/>
      <c r="D29" s="577"/>
      <c r="E29" s="577"/>
      <c r="F29" s="577"/>
      <c r="G29" s="577"/>
      <c r="H29" s="166"/>
    </row>
    <row r="30" ht="15" hidden="1"/>
    <row r="31" spans="2:7" ht="62.25" hidden="1">
      <c r="B31" s="50" t="s">
        <v>33</v>
      </c>
      <c r="C31" s="533" t="s">
        <v>21</v>
      </c>
      <c r="D31" s="534"/>
      <c r="E31" s="535"/>
      <c r="F31" s="50" t="s">
        <v>22</v>
      </c>
      <c r="G31" s="50" t="s">
        <v>23</v>
      </c>
    </row>
    <row r="32" spans="2:7" ht="15" hidden="1">
      <c r="B32" s="118">
        <v>1</v>
      </c>
      <c r="C32" s="605">
        <v>2</v>
      </c>
      <c r="D32" s="606"/>
      <c r="E32" s="607"/>
      <c r="F32" s="118">
        <v>3</v>
      </c>
      <c r="G32" s="118">
        <v>4</v>
      </c>
    </row>
    <row r="33" spans="2:7" ht="32.25" customHeight="1" hidden="1">
      <c r="B33" s="118">
        <v>1</v>
      </c>
      <c r="C33" s="609" t="s">
        <v>34</v>
      </c>
      <c r="D33" s="610"/>
      <c r="E33" s="611"/>
      <c r="F33" s="118" t="s">
        <v>35</v>
      </c>
      <c r="G33" s="159">
        <f>SUM(G34:G36)</f>
        <v>0</v>
      </c>
    </row>
    <row r="34" spans="2:7" ht="15" hidden="1">
      <c r="B34" s="118" t="s">
        <v>24</v>
      </c>
      <c r="C34" s="609" t="s">
        <v>36</v>
      </c>
      <c r="D34" s="610"/>
      <c r="E34" s="611"/>
      <c r="F34" s="159">
        <f>H18</f>
        <v>0</v>
      </c>
      <c r="G34" s="159">
        <f>F34*22%</f>
        <v>0</v>
      </c>
    </row>
    <row r="35" spans="2:7" ht="15" hidden="1">
      <c r="B35" s="160" t="s">
        <v>25</v>
      </c>
      <c r="C35" s="609" t="s">
        <v>37</v>
      </c>
      <c r="D35" s="610"/>
      <c r="E35" s="611"/>
      <c r="F35" s="159"/>
      <c r="G35" s="159"/>
    </row>
    <row r="36" spans="2:7" ht="50.25" customHeight="1" hidden="1">
      <c r="B36" s="118" t="s">
        <v>26</v>
      </c>
      <c r="C36" s="609" t="s">
        <v>77</v>
      </c>
      <c r="D36" s="610"/>
      <c r="E36" s="611"/>
      <c r="F36" s="159"/>
      <c r="G36" s="159"/>
    </row>
    <row r="37" spans="2:7" ht="33" customHeight="1" hidden="1">
      <c r="B37" s="118">
        <v>2</v>
      </c>
      <c r="C37" s="609" t="s">
        <v>27</v>
      </c>
      <c r="D37" s="610"/>
      <c r="E37" s="611"/>
      <c r="F37" s="118" t="s">
        <v>35</v>
      </c>
      <c r="G37" s="159">
        <f>SUM(G38:G42)</f>
        <v>0</v>
      </c>
    </row>
    <row r="38" spans="2:7" ht="45.75" customHeight="1" hidden="1">
      <c r="B38" s="118" t="s">
        <v>28</v>
      </c>
      <c r="C38" s="609" t="s">
        <v>78</v>
      </c>
      <c r="D38" s="610"/>
      <c r="E38" s="611"/>
      <c r="F38" s="159">
        <f>F34</f>
        <v>0</v>
      </c>
      <c r="G38" s="159">
        <f>F38*2.9%</f>
        <v>0</v>
      </c>
    </row>
    <row r="39" spans="2:7" ht="33" customHeight="1" hidden="1">
      <c r="B39" s="118" t="s">
        <v>29</v>
      </c>
      <c r="C39" s="609" t="s">
        <v>79</v>
      </c>
      <c r="D39" s="610"/>
      <c r="E39" s="611"/>
      <c r="F39" s="159"/>
      <c r="G39" s="159"/>
    </row>
    <row r="40" spans="2:7" ht="48" customHeight="1" hidden="1">
      <c r="B40" s="118" t="s">
        <v>30</v>
      </c>
      <c r="C40" s="609" t="s">
        <v>76</v>
      </c>
      <c r="D40" s="610"/>
      <c r="E40" s="611"/>
      <c r="F40" s="159">
        <f>F38</f>
        <v>0</v>
      </c>
      <c r="G40" s="159">
        <f>F40*0.2%</f>
        <v>0</v>
      </c>
    </row>
    <row r="41" spans="2:7" ht="46.5" customHeight="1" hidden="1">
      <c r="B41" s="118" t="s">
        <v>31</v>
      </c>
      <c r="C41" s="609" t="s">
        <v>80</v>
      </c>
      <c r="D41" s="610"/>
      <c r="E41" s="611"/>
      <c r="F41" s="159"/>
      <c r="G41" s="159"/>
    </row>
    <row r="42" spans="2:7" ht="45" customHeight="1" hidden="1">
      <c r="B42" s="118" t="s">
        <v>32</v>
      </c>
      <c r="C42" s="609" t="s">
        <v>80</v>
      </c>
      <c r="D42" s="610"/>
      <c r="E42" s="611"/>
      <c r="F42" s="159"/>
      <c r="G42" s="159"/>
    </row>
    <row r="43" spans="2:7" ht="38.25" customHeight="1" hidden="1">
      <c r="B43" s="118" t="s">
        <v>38</v>
      </c>
      <c r="C43" s="609" t="s">
        <v>39</v>
      </c>
      <c r="D43" s="610"/>
      <c r="E43" s="611"/>
      <c r="F43" s="159">
        <f>F40</f>
        <v>0</v>
      </c>
      <c r="G43" s="159">
        <f>F43*5.1%</f>
        <v>0</v>
      </c>
    </row>
    <row r="44" spans="2:7" ht="15" hidden="1">
      <c r="B44" s="574" t="s">
        <v>72</v>
      </c>
      <c r="C44" s="575"/>
      <c r="D44" s="575"/>
      <c r="E44" s="576"/>
      <c r="F44" s="118" t="s">
        <v>35</v>
      </c>
      <c r="G44" s="161">
        <f>G33+G37+G43</f>
        <v>0</v>
      </c>
    </row>
    <row r="45" ht="15" hidden="1"/>
    <row r="46" spans="1:8" ht="15" hidden="1">
      <c r="A46" s="6"/>
      <c r="B46" s="577" t="s">
        <v>259</v>
      </c>
      <c r="C46" s="577"/>
      <c r="D46" s="577"/>
      <c r="E46" s="577"/>
      <c r="F46" s="577"/>
      <c r="G46" s="577"/>
      <c r="H46" s="577"/>
    </row>
    <row r="47" spans="1:8" ht="15" hidden="1">
      <c r="A47" s="6"/>
      <c r="B47" s="595" t="s">
        <v>219</v>
      </c>
      <c r="C47" s="595"/>
      <c r="D47" s="595"/>
      <c r="E47" s="595"/>
      <c r="F47" s="595"/>
      <c r="G47" s="595"/>
      <c r="H47" s="595"/>
    </row>
    <row r="48" spans="1:8" ht="15" hidden="1">
      <c r="A48" s="6"/>
      <c r="B48" s="577" t="s">
        <v>439</v>
      </c>
      <c r="C48" s="577"/>
      <c r="D48" s="577"/>
      <c r="E48" s="577"/>
      <c r="F48" s="577"/>
      <c r="G48" s="577"/>
      <c r="H48" s="577"/>
    </row>
    <row r="49" spans="2:8" ht="15" hidden="1">
      <c r="B49" s="592" t="s">
        <v>324</v>
      </c>
      <c r="C49" s="593"/>
      <c r="D49" s="592" t="s">
        <v>19</v>
      </c>
      <c r="E49" s="593"/>
      <c r="F49" s="592" t="s">
        <v>325</v>
      </c>
      <c r="G49" s="593"/>
      <c r="H49" s="596" t="s">
        <v>326</v>
      </c>
    </row>
    <row r="50" spans="2:8" ht="15" hidden="1">
      <c r="B50" s="152" t="s">
        <v>16</v>
      </c>
      <c r="C50" s="152" t="s">
        <v>17</v>
      </c>
      <c r="D50" s="152" t="s">
        <v>16</v>
      </c>
      <c r="E50" s="152" t="s">
        <v>17</v>
      </c>
      <c r="F50" s="152" t="s">
        <v>16</v>
      </c>
      <c r="G50" s="152" t="s">
        <v>17</v>
      </c>
      <c r="H50" s="597"/>
    </row>
    <row r="51" spans="2:8" ht="15" hidden="1">
      <c r="B51" s="152">
        <v>1</v>
      </c>
      <c r="C51" s="152">
        <v>2</v>
      </c>
      <c r="D51" s="152">
        <v>3</v>
      </c>
      <c r="E51" s="152">
        <v>4</v>
      </c>
      <c r="F51" s="152">
        <v>5</v>
      </c>
      <c r="G51" s="152">
        <v>6</v>
      </c>
      <c r="H51" s="153">
        <v>7</v>
      </c>
    </row>
    <row r="52" spans="2:8" ht="15" hidden="1">
      <c r="B52" s="257">
        <f>C52/12</f>
        <v>4576.25</v>
      </c>
      <c r="C52" s="257">
        <f>H52</f>
        <v>54915</v>
      </c>
      <c r="D52" s="258">
        <f>H52/12</f>
        <v>4576.25</v>
      </c>
      <c r="E52" s="258">
        <f>H52</f>
        <v>54915</v>
      </c>
      <c r="F52" s="258">
        <f>G52/12</f>
        <v>4576.25</v>
      </c>
      <c r="G52" s="258">
        <f>H52</f>
        <v>54915</v>
      </c>
      <c r="H52" s="259">
        <v>54915</v>
      </c>
    </row>
    <row r="53" spans="2:8" ht="15" hidden="1">
      <c r="B53" s="598" t="s">
        <v>233</v>
      </c>
      <c r="C53" s="599"/>
      <c r="D53" s="599"/>
      <c r="E53" s="599"/>
      <c r="F53" s="599"/>
      <c r="G53" s="600"/>
      <c r="H53" s="157"/>
    </row>
    <row r="54" spans="2:7" ht="15" hidden="1">
      <c r="B54" s="559" t="s">
        <v>263</v>
      </c>
      <c r="C54" s="559"/>
      <c r="D54" s="559"/>
      <c r="E54" s="559"/>
      <c r="F54" s="559"/>
      <c r="G54" s="559"/>
    </row>
    <row r="55" spans="2:8" ht="2.25" customHeight="1" hidden="1">
      <c r="B55" s="595" t="s">
        <v>219</v>
      </c>
      <c r="C55" s="595"/>
      <c r="D55" s="595"/>
      <c r="E55" s="595"/>
      <c r="F55" s="595"/>
      <c r="G55" s="595"/>
      <c r="H55" s="595"/>
    </row>
    <row r="56" spans="2:8" ht="15" hidden="1">
      <c r="B56" s="577" t="s">
        <v>439</v>
      </c>
      <c r="C56" s="577"/>
      <c r="D56" s="577"/>
      <c r="E56" s="577"/>
      <c r="F56" s="577"/>
      <c r="G56" s="577"/>
      <c r="H56" s="577"/>
    </row>
    <row r="57" spans="2:11" ht="46.5" customHeight="1" hidden="1">
      <c r="B57" s="592" t="s">
        <v>324</v>
      </c>
      <c r="C57" s="593"/>
      <c r="D57" s="592" t="s">
        <v>19</v>
      </c>
      <c r="E57" s="593"/>
      <c r="F57" s="592" t="s">
        <v>325</v>
      </c>
      <c r="G57" s="593"/>
      <c r="H57" s="596" t="s">
        <v>326</v>
      </c>
      <c r="J57" s="245"/>
      <c r="K57" s="245"/>
    </row>
    <row r="58" spans="2:8" ht="15" hidden="1">
      <c r="B58" s="152" t="s">
        <v>16</v>
      </c>
      <c r="C58" s="152" t="s">
        <v>17</v>
      </c>
      <c r="D58" s="152" t="s">
        <v>16</v>
      </c>
      <c r="E58" s="152" t="s">
        <v>17</v>
      </c>
      <c r="F58" s="152" t="s">
        <v>16</v>
      </c>
      <c r="G58" s="152" t="s">
        <v>17</v>
      </c>
      <c r="H58" s="597"/>
    </row>
    <row r="59" spans="2:8" ht="15" hidden="1">
      <c r="B59" s="152">
        <v>1</v>
      </c>
      <c r="C59" s="152">
        <v>2</v>
      </c>
      <c r="D59" s="152">
        <v>3</v>
      </c>
      <c r="E59" s="152">
        <v>4</v>
      </c>
      <c r="F59" s="152">
        <v>5</v>
      </c>
      <c r="G59" s="152">
        <v>6</v>
      </c>
      <c r="H59" s="153">
        <v>7</v>
      </c>
    </row>
    <row r="60" spans="2:10" ht="17.25" customHeight="1" hidden="1">
      <c r="B60" s="257">
        <f>H60/12</f>
        <v>0</v>
      </c>
      <c r="C60" s="257">
        <f>B60*12</f>
        <v>0</v>
      </c>
      <c r="D60" s="258">
        <f>H60/12</f>
        <v>0</v>
      </c>
      <c r="E60" s="258">
        <f>H60</f>
        <v>0</v>
      </c>
      <c r="F60" s="258">
        <f>H60/12</f>
        <v>0</v>
      </c>
      <c r="G60" s="258">
        <f>F60*12</f>
        <v>0</v>
      </c>
      <c r="H60" s="259">
        <f>69124.42+55299.54+55000+188514.34-367938.3</f>
        <v>0</v>
      </c>
      <c r="I60" s="245"/>
      <c r="J60" s="245"/>
    </row>
    <row r="61" spans="2:10" ht="15" hidden="1">
      <c r="B61" s="598" t="s">
        <v>233</v>
      </c>
      <c r="C61" s="599"/>
      <c r="D61" s="599"/>
      <c r="E61" s="599"/>
      <c r="F61" s="599"/>
      <c r="G61" s="600"/>
      <c r="H61" s="157">
        <f>H60</f>
        <v>0</v>
      </c>
      <c r="I61" s="245"/>
      <c r="J61" s="245"/>
    </row>
    <row r="62" spans="2:8" ht="63" customHeight="1" hidden="1">
      <c r="B62" s="577" t="s">
        <v>262</v>
      </c>
      <c r="C62" s="577"/>
      <c r="D62" s="577"/>
      <c r="E62" s="577"/>
      <c r="F62" s="577"/>
      <c r="G62" s="577"/>
      <c r="H62" s="166"/>
    </row>
    <row r="63" spans="2:7" ht="62.25" hidden="1">
      <c r="B63" s="50" t="s">
        <v>33</v>
      </c>
      <c r="C63" s="533" t="s">
        <v>21</v>
      </c>
      <c r="D63" s="534"/>
      <c r="E63" s="535"/>
      <c r="F63" s="50" t="s">
        <v>22</v>
      </c>
      <c r="G63" s="50" t="s">
        <v>23</v>
      </c>
    </row>
    <row r="64" spans="2:7" ht="15" hidden="1">
      <c r="B64" s="118">
        <v>1</v>
      </c>
      <c r="C64" s="605">
        <v>2</v>
      </c>
      <c r="D64" s="606"/>
      <c r="E64" s="607"/>
      <c r="F64" s="118">
        <v>3</v>
      </c>
      <c r="G64" s="118">
        <v>4</v>
      </c>
    </row>
    <row r="65" spans="2:7" ht="32.25" customHeight="1" hidden="1">
      <c r="B65" s="118">
        <v>1</v>
      </c>
      <c r="C65" s="609" t="s">
        <v>34</v>
      </c>
      <c r="D65" s="610"/>
      <c r="E65" s="611"/>
      <c r="F65" s="118" t="s">
        <v>35</v>
      </c>
      <c r="G65" s="159">
        <f>SUM(G66:G68)</f>
        <v>0</v>
      </c>
    </row>
    <row r="66" spans="2:7" ht="15" hidden="1">
      <c r="B66" s="118" t="s">
        <v>24</v>
      </c>
      <c r="C66" s="609" t="s">
        <v>36</v>
      </c>
      <c r="D66" s="610"/>
      <c r="E66" s="611"/>
      <c r="F66" s="159">
        <f>H60</f>
        <v>0</v>
      </c>
      <c r="G66" s="159">
        <f>F66*22%</f>
        <v>0</v>
      </c>
    </row>
    <row r="67" spans="2:7" ht="15" hidden="1">
      <c r="B67" s="160" t="s">
        <v>25</v>
      </c>
      <c r="C67" s="609" t="s">
        <v>37</v>
      </c>
      <c r="D67" s="610"/>
      <c r="E67" s="611"/>
      <c r="F67" s="159"/>
      <c r="G67" s="159"/>
    </row>
    <row r="68" spans="2:7" ht="50.25" customHeight="1" hidden="1">
      <c r="B68" s="118" t="s">
        <v>26</v>
      </c>
      <c r="C68" s="609" t="s">
        <v>77</v>
      </c>
      <c r="D68" s="610"/>
      <c r="E68" s="611"/>
      <c r="F68" s="159"/>
      <c r="G68" s="159"/>
    </row>
    <row r="69" spans="2:7" ht="33" customHeight="1" hidden="1">
      <c r="B69" s="118">
        <v>2</v>
      </c>
      <c r="C69" s="609" t="s">
        <v>27</v>
      </c>
      <c r="D69" s="610"/>
      <c r="E69" s="611"/>
      <c r="F69" s="118" t="s">
        <v>35</v>
      </c>
      <c r="G69" s="159">
        <f>SUM(G70:G74)</f>
        <v>0</v>
      </c>
    </row>
    <row r="70" spans="2:7" ht="38.25" customHeight="1" hidden="1">
      <c r="B70" s="118" t="s">
        <v>28</v>
      </c>
      <c r="C70" s="609" t="s">
        <v>78</v>
      </c>
      <c r="D70" s="610"/>
      <c r="E70" s="611"/>
      <c r="F70" s="159">
        <f>F66</f>
        <v>0</v>
      </c>
      <c r="G70" s="159">
        <f>F70*2.9%</f>
        <v>0</v>
      </c>
    </row>
    <row r="71" spans="2:7" ht="33" customHeight="1" hidden="1">
      <c r="B71" s="118" t="s">
        <v>29</v>
      </c>
      <c r="C71" s="609" t="s">
        <v>79</v>
      </c>
      <c r="D71" s="610"/>
      <c r="E71" s="611"/>
      <c r="F71" s="159"/>
      <c r="G71" s="159"/>
    </row>
    <row r="72" spans="2:7" ht="48" customHeight="1" hidden="1">
      <c r="B72" s="118" t="s">
        <v>29</v>
      </c>
      <c r="C72" s="609" t="s">
        <v>76</v>
      </c>
      <c r="D72" s="610"/>
      <c r="E72" s="611"/>
      <c r="F72" s="159">
        <f>F70</f>
        <v>0</v>
      </c>
      <c r="G72" s="159">
        <f>F72*0.2%</f>
        <v>0</v>
      </c>
    </row>
    <row r="73" spans="2:7" ht="46.5" customHeight="1" hidden="1">
      <c r="B73" s="118" t="s">
        <v>31</v>
      </c>
      <c r="C73" s="609" t="s">
        <v>80</v>
      </c>
      <c r="D73" s="610"/>
      <c r="E73" s="611"/>
      <c r="F73" s="159"/>
      <c r="G73" s="159"/>
    </row>
    <row r="74" spans="2:7" ht="45" customHeight="1" hidden="1">
      <c r="B74" s="118" t="s">
        <v>32</v>
      </c>
      <c r="C74" s="609" t="s">
        <v>80</v>
      </c>
      <c r="D74" s="610"/>
      <c r="E74" s="611"/>
      <c r="F74" s="159"/>
      <c r="G74" s="159"/>
    </row>
    <row r="75" spans="2:7" ht="38.25" customHeight="1" hidden="1">
      <c r="B75" s="118" t="s">
        <v>38</v>
      </c>
      <c r="C75" s="609" t="s">
        <v>39</v>
      </c>
      <c r="D75" s="610"/>
      <c r="E75" s="611"/>
      <c r="F75" s="159">
        <f>F72</f>
        <v>0</v>
      </c>
      <c r="G75" s="159">
        <f>F75*5.1%</f>
        <v>0</v>
      </c>
    </row>
    <row r="76" spans="2:7" ht="16.5" customHeight="1" hidden="1">
      <c r="B76" s="574" t="s">
        <v>72</v>
      </c>
      <c r="C76" s="575"/>
      <c r="D76" s="575"/>
      <c r="E76" s="576"/>
      <c r="F76" s="118" t="s">
        <v>35</v>
      </c>
      <c r="G76" s="161">
        <f>G65+G69+G75</f>
        <v>0</v>
      </c>
    </row>
    <row r="77" ht="8.25" customHeight="1" hidden="1"/>
    <row r="78" spans="2:7" ht="17.25" customHeight="1" hidden="1">
      <c r="B78" s="559" t="s">
        <v>263</v>
      </c>
      <c r="C78" s="559"/>
      <c r="D78" s="559"/>
      <c r="E78" s="559"/>
      <c r="F78" s="559"/>
      <c r="G78" s="559"/>
    </row>
    <row r="79" spans="2:7" ht="10.5" customHeight="1" hidden="1">
      <c r="B79" s="163"/>
      <c r="C79" s="163"/>
      <c r="D79" s="163"/>
      <c r="E79" s="163"/>
      <c r="F79" s="163"/>
      <c r="G79" s="164"/>
    </row>
    <row r="80" spans="2:7" ht="11.25" customHeight="1" hidden="1">
      <c r="B80" s="608" t="s">
        <v>220</v>
      </c>
      <c r="C80" s="608"/>
      <c r="D80" s="608"/>
      <c r="E80" s="608"/>
      <c r="F80" s="608"/>
      <c r="G80" s="608"/>
    </row>
    <row r="81" spans="2:7" ht="9.75" customHeight="1" hidden="1">
      <c r="B81" s="163"/>
      <c r="C81" s="165"/>
      <c r="D81" s="163"/>
      <c r="E81" s="163"/>
      <c r="F81" s="163"/>
      <c r="G81" s="163"/>
    </row>
    <row r="82" spans="2:8" ht="3.75" customHeight="1" hidden="1">
      <c r="B82" s="50" t="s">
        <v>33</v>
      </c>
      <c r="C82" s="530" t="s">
        <v>40</v>
      </c>
      <c r="D82" s="530"/>
      <c r="E82" s="530"/>
      <c r="F82" s="50" t="s">
        <v>41</v>
      </c>
      <c r="G82" s="50" t="s">
        <v>42</v>
      </c>
      <c r="H82" s="50" t="s">
        <v>43</v>
      </c>
    </row>
    <row r="83" spans="2:8" ht="3" customHeight="1" hidden="1">
      <c r="B83" s="50">
        <v>1</v>
      </c>
      <c r="C83" s="530">
        <v>2</v>
      </c>
      <c r="D83" s="530"/>
      <c r="E83" s="530"/>
      <c r="F83" s="50">
        <v>3</v>
      </c>
      <c r="G83" s="50">
        <v>4</v>
      </c>
      <c r="H83" s="50">
        <v>5</v>
      </c>
    </row>
    <row r="84" spans="2:8" ht="9" customHeight="1" hidden="1">
      <c r="B84" s="50">
        <v>1</v>
      </c>
      <c r="C84" s="567" t="s">
        <v>328</v>
      </c>
      <c r="D84" s="567"/>
      <c r="E84" s="567"/>
      <c r="F84" s="216" t="s">
        <v>330</v>
      </c>
      <c r="G84" s="216" t="s">
        <v>330</v>
      </c>
      <c r="H84" s="123">
        <f>14990-7.4-14982.6</f>
        <v>0</v>
      </c>
    </row>
    <row r="85" spans="2:8" ht="6" customHeight="1" hidden="1">
      <c r="B85" s="50">
        <v>1</v>
      </c>
      <c r="C85" s="567" t="s">
        <v>329</v>
      </c>
      <c r="D85" s="567"/>
      <c r="E85" s="567"/>
      <c r="F85" s="216">
        <v>151.98</v>
      </c>
      <c r="G85" s="216">
        <v>32.9</v>
      </c>
      <c r="H85" s="123">
        <v>0</v>
      </c>
    </row>
    <row r="86" spans="2:8" ht="3" customHeight="1" hidden="1">
      <c r="B86" s="50">
        <v>4</v>
      </c>
      <c r="C86" s="567" t="s">
        <v>489</v>
      </c>
      <c r="D86" s="567"/>
      <c r="E86" s="567"/>
      <c r="F86" s="216" t="s">
        <v>330</v>
      </c>
      <c r="G86" s="216" t="s">
        <v>330</v>
      </c>
      <c r="H86" s="123">
        <f>7.4-7.4</f>
        <v>0</v>
      </c>
    </row>
    <row r="87" spans="1:8" s="7" customFormat="1" ht="4.5" customHeight="1" hidden="1">
      <c r="A87" s="166"/>
      <c r="B87" s="541" t="s">
        <v>223</v>
      </c>
      <c r="C87" s="541"/>
      <c r="D87" s="541"/>
      <c r="E87" s="541"/>
      <c r="F87" s="541"/>
      <c r="G87" s="541"/>
      <c r="H87" s="167">
        <f>SUM(H84:H86)</f>
        <v>0</v>
      </c>
    </row>
    <row r="88" ht="3" customHeight="1" hidden="1"/>
    <row r="89" spans="2:7" ht="2.25" customHeight="1" hidden="1">
      <c r="B89" s="559" t="s">
        <v>259</v>
      </c>
      <c r="C89" s="559"/>
      <c r="D89" s="559"/>
      <c r="E89" s="559"/>
      <c r="F89" s="559"/>
      <c r="G89" s="559"/>
    </row>
    <row r="90" spans="2:8" ht="15" hidden="1">
      <c r="B90" s="595" t="s">
        <v>219</v>
      </c>
      <c r="C90" s="595"/>
      <c r="D90" s="595"/>
      <c r="E90" s="595"/>
      <c r="F90" s="595"/>
      <c r="G90" s="595"/>
      <c r="H90" s="595"/>
    </row>
    <row r="91" spans="2:8" ht="15" hidden="1">
      <c r="B91" s="577" t="s">
        <v>439</v>
      </c>
      <c r="C91" s="577"/>
      <c r="D91" s="577"/>
      <c r="E91" s="577"/>
      <c r="F91" s="577"/>
      <c r="G91" s="577"/>
      <c r="H91" s="577"/>
    </row>
    <row r="92" spans="2:11" ht="48" customHeight="1" hidden="1">
      <c r="B92" s="592" t="s">
        <v>324</v>
      </c>
      <c r="C92" s="593"/>
      <c r="D92" s="592" t="s">
        <v>19</v>
      </c>
      <c r="E92" s="593"/>
      <c r="F92" s="592" t="s">
        <v>325</v>
      </c>
      <c r="G92" s="593"/>
      <c r="H92" s="596" t="s">
        <v>326</v>
      </c>
      <c r="J92" s="245"/>
      <c r="K92" s="245"/>
    </row>
    <row r="93" spans="2:8" ht="15" hidden="1">
      <c r="B93" s="152" t="s">
        <v>16</v>
      </c>
      <c r="C93" s="152" t="s">
        <v>17</v>
      </c>
      <c r="D93" s="152" t="s">
        <v>16</v>
      </c>
      <c r="E93" s="152" t="s">
        <v>17</v>
      </c>
      <c r="F93" s="152" t="s">
        <v>16</v>
      </c>
      <c r="G93" s="152" t="s">
        <v>17</v>
      </c>
      <c r="H93" s="597"/>
    </row>
    <row r="94" spans="2:8" ht="15" hidden="1">
      <c r="B94" s="152">
        <v>1</v>
      </c>
      <c r="C94" s="152">
        <v>2</v>
      </c>
      <c r="D94" s="152">
        <v>3</v>
      </c>
      <c r="E94" s="152">
        <v>4</v>
      </c>
      <c r="F94" s="152">
        <v>5</v>
      </c>
      <c r="G94" s="152">
        <v>6</v>
      </c>
      <c r="H94" s="153">
        <v>7</v>
      </c>
    </row>
    <row r="95" spans="2:10" ht="17.25" customHeight="1" hidden="1">
      <c r="B95" s="257">
        <f>H95/12</f>
        <v>0</v>
      </c>
      <c r="C95" s="257">
        <f>B95*12</f>
        <v>0</v>
      </c>
      <c r="D95" s="258">
        <f>H95/12</f>
        <v>0</v>
      </c>
      <c r="E95" s="258">
        <f>H95</f>
        <v>0</v>
      </c>
      <c r="F95" s="258">
        <f>H95/12</f>
        <v>0</v>
      </c>
      <c r="G95" s="258">
        <f>F95*12</f>
        <v>0</v>
      </c>
      <c r="H95" s="259">
        <v>0</v>
      </c>
      <c r="I95" s="245"/>
      <c r="J95" s="245"/>
    </row>
    <row r="96" spans="2:10" ht="15" hidden="1">
      <c r="B96" s="598" t="s">
        <v>233</v>
      </c>
      <c r="C96" s="599"/>
      <c r="D96" s="599"/>
      <c r="E96" s="599"/>
      <c r="F96" s="599"/>
      <c r="G96" s="600"/>
      <c r="H96" s="157">
        <f>H95</f>
        <v>0</v>
      </c>
      <c r="I96" s="245"/>
      <c r="J96" s="245"/>
    </row>
    <row r="97" spans="2:7" ht="15">
      <c r="B97" s="622" t="s">
        <v>263</v>
      </c>
      <c r="C97" s="622"/>
      <c r="D97" s="622"/>
      <c r="E97" s="622"/>
      <c r="F97" s="622"/>
      <c r="G97" s="622"/>
    </row>
    <row r="98" spans="2:7" ht="15">
      <c r="B98" s="608" t="s">
        <v>505</v>
      </c>
      <c r="C98" s="608"/>
      <c r="D98" s="608"/>
      <c r="E98" s="608"/>
      <c r="F98" s="608"/>
      <c r="G98" s="608"/>
    </row>
    <row r="99" spans="2:7" ht="1.5" customHeight="1">
      <c r="B99" s="163"/>
      <c r="C99" s="165"/>
      <c r="D99" s="163"/>
      <c r="E99" s="163"/>
      <c r="F99" s="163"/>
      <c r="G99" s="163"/>
    </row>
    <row r="100" spans="2:7" ht="81" customHeight="1">
      <c r="B100" s="50" t="s">
        <v>33</v>
      </c>
      <c r="C100" s="530" t="s">
        <v>40</v>
      </c>
      <c r="D100" s="530"/>
      <c r="E100" s="50" t="s">
        <v>41</v>
      </c>
      <c r="F100" s="50" t="s">
        <v>42</v>
      </c>
      <c r="G100" s="50" t="s">
        <v>43</v>
      </c>
    </row>
    <row r="101" spans="2:7" ht="15.75" customHeight="1" hidden="1">
      <c r="B101" s="50">
        <v>1</v>
      </c>
      <c r="C101" s="609" t="s">
        <v>322</v>
      </c>
      <c r="D101" s="611"/>
      <c r="E101" s="238">
        <f>G101/F101%</f>
        <v>0</v>
      </c>
      <c r="F101" s="50">
        <v>2.2</v>
      </c>
      <c r="G101" s="123">
        <v>0</v>
      </c>
    </row>
    <row r="102" spans="2:7" ht="15" customHeight="1">
      <c r="B102" s="50">
        <v>1</v>
      </c>
      <c r="C102" s="609" t="s">
        <v>329</v>
      </c>
      <c r="D102" s="611"/>
      <c r="E102" s="238">
        <f aca="true" t="shared" si="0" ref="E102:E110">G102/F102</f>
        <v>125.01519756838907</v>
      </c>
      <c r="F102" s="50">
        <v>32.9</v>
      </c>
      <c r="G102" s="123">
        <f>6000-1887</f>
        <v>4113</v>
      </c>
    </row>
    <row r="103" spans="2:7" ht="73.5" customHeight="1" hidden="1">
      <c r="B103" s="50">
        <v>2</v>
      </c>
      <c r="C103" s="609" t="s">
        <v>696</v>
      </c>
      <c r="D103" s="611"/>
      <c r="E103" s="238">
        <f t="shared" si="0"/>
        <v>0</v>
      </c>
      <c r="F103" s="50">
        <v>32.9</v>
      </c>
      <c r="G103" s="123">
        <f>0.36-0.36</f>
        <v>0</v>
      </c>
    </row>
    <row r="104" spans="2:7" ht="15" customHeight="1" hidden="1">
      <c r="B104" s="50">
        <v>2</v>
      </c>
      <c r="C104" s="609" t="s">
        <v>782</v>
      </c>
      <c r="D104" s="611"/>
      <c r="E104" s="238">
        <f t="shared" si="0"/>
        <v>0</v>
      </c>
      <c r="F104" s="50">
        <v>1</v>
      </c>
      <c r="G104" s="123">
        <v>0</v>
      </c>
    </row>
    <row r="105" spans="2:7" ht="52.5" customHeight="1">
      <c r="B105" s="50">
        <v>2</v>
      </c>
      <c r="C105" s="609" t="s">
        <v>787</v>
      </c>
      <c r="D105" s="611"/>
      <c r="E105" s="238">
        <f>G105/F105</f>
        <v>3000</v>
      </c>
      <c r="F105" s="50">
        <v>1</v>
      </c>
      <c r="G105" s="123">
        <v>3000</v>
      </c>
    </row>
    <row r="106" spans="2:7" ht="52.5" customHeight="1">
      <c r="B106" s="50">
        <v>3</v>
      </c>
      <c r="C106" s="609" t="s">
        <v>926</v>
      </c>
      <c r="D106" s="611"/>
      <c r="E106" s="238">
        <f>G106/F106</f>
        <v>3000</v>
      </c>
      <c r="F106" s="50">
        <v>1</v>
      </c>
      <c r="G106" s="123">
        <v>3000</v>
      </c>
    </row>
    <row r="107" spans="1:8" s="7" customFormat="1" ht="18" customHeight="1">
      <c r="A107" s="166"/>
      <c r="B107" s="574" t="s">
        <v>912</v>
      </c>
      <c r="C107" s="575"/>
      <c r="D107" s="575"/>
      <c r="E107" s="575"/>
      <c r="F107" s="576"/>
      <c r="G107" s="167">
        <f>SUM(G97:G106)</f>
        <v>10113</v>
      </c>
      <c r="H107" s="166"/>
    </row>
    <row r="108" spans="2:7" ht="49.5" customHeight="1">
      <c r="B108" s="50">
        <v>3</v>
      </c>
      <c r="C108" s="609" t="s">
        <v>976</v>
      </c>
      <c r="D108" s="611"/>
      <c r="E108" s="238">
        <v>759.28</v>
      </c>
      <c r="F108" s="464">
        <v>0.0066</v>
      </c>
      <c r="G108" s="123">
        <v>1000</v>
      </c>
    </row>
    <row r="109" spans="2:7" ht="1.5" customHeight="1" hidden="1">
      <c r="B109" s="50">
        <v>5</v>
      </c>
      <c r="C109" s="609" t="s">
        <v>793</v>
      </c>
      <c r="D109" s="611"/>
      <c r="E109" s="238">
        <f t="shared" si="0"/>
        <v>0</v>
      </c>
      <c r="F109" s="50">
        <v>27.1</v>
      </c>
      <c r="G109" s="123">
        <v>0</v>
      </c>
    </row>
    <row r="110" spans="2:7" ht="17.25" customHeight="1" hidden="1">
      <c r="B110" s="50">
        <v>6</v>
      </c>
      <c r="C110" s="609" t="s">
        <v>783</v>
      </c>
      <c r="D110" s="611"/>
      <c r="E110" s="238">
        <f t="shared" si="0"/>
        <v>0</v>
      </c>
      <c r="F110" s="50">
        <v>1</v>
      </c>
      <c r="G110" s="123">
        <v>0</v>
      </c>
    </row>
    <row r="111" spans="2:7" ht="17.25" customHeight="1">
      <c r="B111" s="688" t="s">
        <v>913</v>
      </c>
      <c r="C111" s="689"/>
      <c r="D111" s="689"/>
      <c r="E111" s="689"/>
      <c r="F111" s="690"/>
      <c r="G111" s="123">
        <f>G108</f>
        <v>1000</v>
      </c>
    </row>
    <row r="112" spans="1:8" s="7" customFormat="1" ht="15">
      <c r="A112" s="166"/>
      <c r="B112" s="585" t="s">
        <v>223</v>
      </c>
      <c r="C112" s="586"/>
      <c r="D112" s="587"/>
      <c r="E112" s="25"/>
      <c r="F112" s="122"/>
      <c r="G112" s="167">
        <f>G107+G111</f>
        <v>11113</v>
      </c>
      <c r="H112" s="166"/>
    </row>
    <row r="113" spans="2:8" ht="15">
      <c r="B113" s="559" t="s">
        <v>264</v>
      </c>
      <c r="C113" s="559"/>
      <c r="D113" s="559"/>
      <c r="E113" s="559"/>
      <c r="F113" s="559"/>
      <c r="G113" s="559"/>
      <c r="H113" s="168"/>
    </row>
    <row r="114" spans="2:8" ht="15">
      <c r="B114" s="608" t="s">
        <v>553</v>
      </c>
      <c r="C114" s="608"/>
      <c r="D114" s="608"/>
      <c r="E114" s="608"/>
      <c r="F114" s="608"/>
      <c r="G114" s="608"/>
      <c r="H114" s="168"/>
    </row>
    <row r="115" spans="1:8" s="8" customFormat="1" ht="15.75" customHeight="1" hidden="1">
      <c r="A115" s="147"/>
      <c r="B115" s="559" t="s">
        <v>266</v>
      </c>
      <c r="C115" s="559"/>
      <c r="D115" s="559"/>
      <c r="E115" s="559"/>
      <c r="F115" s="559"/>
      <c r="G115" s="559"/>
      <c r="H115" s="163"/>
    </row>
    <row r="116" spans="1:8" s="8" customFormat="1" ht="15.75" customHeight="1" hidden="1">
      <c r="A116" s="147"/>
      <c r="B116" s="163"/>
      <c r="C116" s="163"/>
      <c r="D116" s="164"/>
      <c r="E116" s="163"/>
      <c r="F116" s="163"/>
      <c r="G116" s="163"/>
      <c r="H116" s="163"/>
    </row>
    <row r="117" spans="1:8" s="8" customFormat="1" ht="33" customHeight="1" hidden="1">
      <c r="A117" s="147"/>
      <c r="B117" s="50" t="s">
        <v>33</v>
      </c>
      <c r="C117" s="50" t="s">
        <v>40</v>
      </c>
      <c r="D117" s="50" t="s">
        <v>283</v>
      </c>
      <c r="E117" s="533" t="s">
        <v>284</v>
      </c>
      <c r="F117" s="535"/>
      <c r="G117" s="50" t="s">
        <v>47</v>
      </c>
      <c r="H117" s="163"/>
    </row>
    <row r="118" spans="1:8" s="8" customFormat="1" ht="15.75" customHeight="1" hidden="1">
      <c r="A118" s="147"/>
      <c r="B118" s="50">
        <v>1</v>
      </c>
      <c r="C118" s="50">
        <v>2</v>
      </c>
      <c r="D118" s="50">
        <v>3</v>
      </c>
      <c r="E118" s="533">
        <v>4</v>
      </c>
      <c r="F118" s="535"/>
      <c r="G118" s="50">
        <v>5</v>
      </c>
      <c r="H118" s="163"/>
    </row>
    <row r="119" spans="1:8" s="8" customFormat="1" ht="15.75" customHeight="1" hidden="1">
      <c r="A119" s="147"/>
      <c r="B119" s="50"/>
      <c r="C119" s="50"/>
      <c r="D119" s="50"/>
      <c r="E119" s="533"/>
      <c r="F119" s="535"/>
      <c r="G119" s="50"/>
      <c r="H119" s="163"/>
    </row>
    <row r="120" spans="1:8" s="8" customFormat="1" ht="15.75" customHeight="1" hidden="1">
      <c r="A120" s="147"/>
      <c r="B120" s="50"/>
      <c r="C120" s="36"/>
      <c r="D120" s="50"/>
      <c r="E120" s="533"/>
      <c r="F120" s="535"/>
      <c r="G120" s="123"/>
      <c r="H120" s="163"/>
    </row>
    <row r="121" spans="1:8" s="8" customFormat="1" ht="15.75" customHeight="1" hidden="1">
      <c r="A121" s="147"/>
      <c r="B121" s="585" t="s">
        <v>226</v>
      </c>
      <c r="C121" s="586"/>
      <c r="D121" s="586"/>
      <c r="E121" s="586"/>
      <c r="F121" s="587"/>
      <c r="G121" s="122">
        <f>SUM(G120:G120)</f>
        <v>0</v>
      </c>
      <c r="H121" s="163"/>
    </row>
    <row r="122" spans="1:8" s="8" customFormat="1" ht="15" hidden="1">
      <c r="A122" s="147"/>
      <c r="B122" s="171"/>
      <c r="C122" s="171"/>
      <c r="D122" s="171"/>
      <c r="E122" s="171"/>
      <c r="F122" s="171"/>
      <c r="G122" s="171"/>
      <c r="H122" s="163"/>
    </row>
    <row r="123" spans="1:8" s="8" customFormat="1" ht="2.25" customHeight="1" hidden="1">
      <c r="A123" s="147"/>
      <c r="B123" s="171"/>
      <c r="C123" s="171"/>
      <c r="D123" s="171"/>
      <c r="E123" s="171"/>
      <c r="F123" s="171"/>
      <c r="G123" s="178"/>
      <c r="H123" s="163"/>
    </row>
    <row r="124" spans="1:8" s="8" customFormat="1" ht="15.75" customHeight="1" hidden="1">
      <c r="A124" s="147"/>
      <c r="B124" s="559" t="s">
        <v>266</v>
      </c>
      <c r="C124" s="559"/>
      <c r="D124" s="559"/>
      <c r="E124" s="559"/>
      <c r="F124" s="559"/>
      <c r="G124" s="559"/>
      <c r="H124" s="163"/>
    </row>
    <row r="125" spans="1:8" s="8" customFormat="1" ht="15.75" customHeight="1" hidden="1">
      <c r="A125" s="147"/>
      <c r="B125" s="163"/>
      <c r="C125" s="163"/>
      <c r="D125" s="164"/>
      <c r="E125" s="163"/>
      <c r="F125" s="163"/>
      <c r="G125" s="163"/>
      <c r="H125" s="163"/>
    </row>
    <row r="126" spans="1:8" s="8" customFormat="1" ht="33" customHeight="1" hidden="1">
      <c r="A126" s="147"/>
      <c r="B126" s="50" t="s">
        <v>33</v>
      </c>
      <c r="C126" s="50" t="s">
        <v>40</v>
      </c>
      <c r="D126" s="50" t="s">
        <v>283</v>
      </c>
      <c r="E126" s="533" t="s">
        <v>284</v>
      </c>
      <c r="F126" s="535"/>
      <c r="G126" s="50" t="s">
        <v>47</v>
      </c>
      <c r="H126" s="163"/>
    </row>
    <row r="127" spans="1:8" s="8" customFormat="1" ht="15.75" customHeight="1" hidden="1">
      <c r="A127" s="147"/>
      <c r="B127" s="50">
        <v>1</v>
      </c>
      <c r="C127" s="50">
        <v>2</v>
      </c>
      <c r="D127" s="50">
        <v>3</v>
      </c>
      <c r="E127" s="533">
        <v>4</v>
      </c>
      <c r="F127" s="535"/>
      <c r="G127" s="50">
        <v>5</v>
      </c>
      <c r="H127" s="163"/>
    </row>
    <row r="128" spans="1:8" s="8" customFormat="1" ht="15.75" customHeight="1" hidden="1">
      <c r="A128" s="147"/>
      <c r="B128" s="50"/>
      <c r="C128" s="50"/>
      <c r="D128" s="50"/>
      <c r="E128" s="533"/>
      <c r="F128" s="535"/>
      <c r="G128" s="50"/>
      <c r="H128" s="163"/>
    </row>
    <row r="129" spans="1:8" s="8" customFormat="1" ht="15.75" customHeight="1" hidden="1">
      <c r="A129" s="147"/>
      <c r="B129" s="50"/>
      <c r="C129" s="36"/>
      <c r="D129" s="50"/>
      <c r="E129" s="533"/>
      <c r="F129" s="535"/>
      <c r="G129" s="123"/>
      <c r="H129" s="163"/>
    </row>
    <row r="130" spans="1:8" s="8" customFormat="1" ht="15.75" customHeight="1" hidden="1">
      <c r="A130" s="147"/>
      <c r="B130" s="585" t="s">
        <v>226</v>
      </c>
      <c r="C130" s="586"/>
      <c r="D130" s="586"/>
      <c r="E130" s="586"/>
      <c r="F130" s="587"/>
      <c r="G130" s="122">
        <f>SUM(G129:G129)</f>
        <v>0</v>
      </c>
      <c r="H130" s="163"/>
    </row>
    <row r="131" spans="1:8" s="8" customFormat="1" ht="15.75" customHeight="1" hidden="1">
      <c r="A131" s="147"/>
      <c r="B131" s="171"/>
      <c r="C131" s="171"/>
      <c r="D131" s="171"/>
      <c r="E131" s="171"/>
      <c r="F131" s="171"/>
      <c r="G131" s="171"/>
      <c r="H131" s="163"/>
    </row>
    <row r="132" spans="1:8" s="8" customFormat="1" ht="3" customHeight="1" hidden="1">
      <c r="A132" s="147"/>
      <c r="B132" s="621" t="s">
        <v>267</v>
      </c>
      <c r="C132" s="621"/>
      <c r="D132" s="621"/>
      <c r="E132" s="621"/>
      <c r="F132" s="621"/>
      <c r="G132" s="621"/>
      <c r="H132" s="163"/>
    </row>
    <row r="133" spans="1:8" s="8" customFormat="1" ht="1.5" customHeight="1" hidden="1">
      <c r="A133" s="147"/>
      <c r="B133" s="163"/>
      <c r="C133" s="163"/>
      <c r="D133" s="164"/>
      <c r="E133" s="163"/>
      <c r="F133" s="163"/>
      <c r="G133" s="163"/>
      <c r="H133" s="163"/>
    </row>
    <row r="134" spans="1:8" s="8" customFormat="1" ht="46.5" hidden="1">
      <c r="A134" s="147"/>
      <c r="B134" s="50" t="s">
        <v>33</v>
      </c>
      <c r="C134" s="50" t="s">
        <v>40</v>
      </c>
      <c r="D134" s="50" t="s">
        <v>84</v>
      </c>
      <c r="E134" s="50" t="s">
        <v>48</v>
      </c>
      <c r="F134" s="50" t="s">
        <v>49</v>
      </c>
      <c r="G134" s="50" t="s">
        <v>47</v>
      </c>
      <c r="H134" s="163"/>
    </row>
    <row r="135" spans="1:8" s="8" customFormat="1" ht="15" hidden="1">
      <c r="A135" s="147"/>
      <c r="B135" s="50">
        <v>1</v>
      </c>
      <c r="C135" s="50">
        <v>2</v>
      </c>
      <c r="D135" s="50">
        <v>3</v>
      </c>
      <c r="E135" s="50">
        <v>4</v>
      </c>
      <c r="F135" s="50">
        <v>5</v>
      </c>
      <c r="G135" s="50">
        <v>6</v>
      </c>
      <c r="H135" s="163"/>
    </row>
    <row r="136" spans="1:8" s="8" customFormat="1" ht="15" hidden="1">
      <c r="A136" s="147"/>
      <c r="B136" s="50">
        <v>1</v>
      </c>
      <c r="C136" s="36" t="s">
        <v>311</v>
      </c>
      <c r="D136" s="170">
        <f>G136/E136</f>
        <v>0</v>
      </c>
      <c r="E136" s="50">
        <v>5.98</v>
      </c>
      <c r="F136" s="50">
        <v>0</v>
      </c>
      <c r="G136" s="238">
        <f>5000-5000</f>
        <v>0</v>
      </c>
      <c r="H136" s="163"/>
    </row>
    <row r="137" spans="1:8" s="8" customFormat="1" ht="15.75" customHeight="1" hidden="1">
      <c r="A137" s="147"/>
      <c r="B137" s="50"/>
      <c r="C137" s="50"/>
      <c r="D137" s="50"/>
      <c r="E137" s="50"/>
      <c r="F137" s="50"/>
      <c r="G137" s="50"/>
      <c r="H137" s="163"/>
    </row>
    <row r="138" spans="1:8" s="9" customFormat="1" ht="15.75" customHeight="1" hidden="1">
      <c r="A138" s="172"/>
      <c r="B138" s="585" t="s">
        <v>73</v>
      </c>
      <c r="C138" s="586"/>
      <c r="D138" s="586"/>
      <c r="E138" s="586"/>
      <c r="F138" s="587"/>
      <c r="G138" s="122">
        <f>SUM(G136:G137)</f>
        <v>0</v>
      </c>
      <c r="H138" s="22"/>
    </row>
    <row r="139" spans="1:8" s="9" customFormat="1" ht="3.75" customHeight="1" hidden="1">
      <c r="A139" s="172"/>
      <c r="B139" s="171"/>
      <c r="C139" s="171"/>
      <c r="D139" s="171"/>
      <c r="E139" s="171"/>
      <c r="F139" s="171"/>
      <c r="G139" s="178"/>
      <c r="H139" s="22"/>
    </row>
    <row r="140" spans="1:8" s="9" customFormat="1" ht="15.75" customHeight="1" hidden="1">
      <c r="A140" s="172"/>
      <c r="B140" s="582" t="s">
        <v>268</v>
      </c>
      <c r="C140" s="582"/>
      <c r="D140" s="582"/>
      <c r="E140" s="582"/>
      <c r="F140" s="582"/>
      <c r="G140" s="582"/>
      <c r="H140" s="22"/>
    </row>
    <row r="141" spans="1:8" s="9" customFormat="1" ht="15.75" customHeight="1" hidden="1">
      <c r="A141" s="172"/>
      <c r="B141" s="163"/>
      <c r="C141" s="163"/>
      <c r="D141" s="164"/>
      <c r="E141" s="163"/>
      <c r="F141" s="163"/>
      <c r="G141" s="163"/>
      <c r="H141" s="22"/>
    </row>
    <row r="142" spans="1:8" s="9" customFormat="1" ht="32.25" customHeight="1" hidden="1">
      <c r="A142" s="172"/>
      <c r="B142" s="50" t="s">
        <v>33</v>
      </c>
      <c r="C142" s="50" t="s">
        <v>40</v>
      </c>
      <c r="D142" s="50" t="s">
        <v>54</v>
      </c>
      <c r="E142" s="27" t="s">
        <v>285</v>
      </c>
      <c r="F142" s="50" t="s">
        <v>47</v>
      </c>
      <c r="G142" s="8"/>
      <c r="H142" s="22"/>
    </row>
    <row r="143" spans="1:8" s="9" customFormat="1" ht="15.75" customHeight="1" hidden="1">
      <c r="A143" s="172"/>
      <c r="B143" s="118">
        <v>1</v>
      </c>
      <c r="C143" s="118">
        <v>2</v>
      </c>
      <c r="D143" s="118">
        <v>3</v>
      </c>
      <c r="E143" s="158">
        <v>4</v>
      </c>
      <c r="F143" s="50">
        <v>5</v>
      </c>
      <c r="G143" s="8"/>
      <c r="H143" s="22"/>
    </row>
    <row r="144" spans="1:8" s="9" customFormat="1" ht="15.75" customHeight="1" hidden="1">
      <c r="A144" s="172"/>
      <c r="B144" s="118"/>
      <c r="C144" s="50"/>
      <c r="D144" s="118"/>
      <c r="E144" s="158"/>
      <c r="F144" s="187"/>
      <c r="G144" s="8"/>
      <c r="H144" s="22"/>
    </row>
    <row r="145" spans="1:8" s="9" customFormat="1" ht="15.75" customHeight="1" hidden="1">
      <c r="A145" s="172"/>
      <c r="B145" s="118"/>
      <c r="C145" s="50"/>
      <c r="D145" s="118"/>
      <c r="E145" s="158"/>
      <c r="F145" s="187"/>
      <c r="G145" s="8"/>
      <c r="H145" s="22"/>
    </row>
    <row r="146" spans="1:8" s="8" customFormat="1" ht="15.75" customHeight="1" hidden="1">
      <c r="A146" s="147"/>
      <c r="B146" s="574" t="s">
        <v>227</v>
      </c>
      <c r="C146" s="575"/>
      <c r="D146" s="575"/>
      <c r="E146" s="576"/>
      <c r="F146" s="122">
        <f>SUM(F144:F145)</f>
        <v>0</v>
      </c>
      <c r="G146" s="9"/>
      <c r="H146" s="163"/>
    </row>
    <row r="147" spans="1:8" s="8" customFormat="1" ht="15.75" customHeight="1" hidden="1">
      <c r="A147" s="147"/>
      <c r="B147" s="176"/>
      <c r="C147" s="176"/>
      <c r="D147" s="176"/>
      <c r="E147" s="176"/>
      <c r="F147" s="178"/>
      <c r="G147" s="9"/>
      <c r="H147" s="163"/>
    </row>
    <row r="148" spans="1:8" s="8" customFormat="1" ht="21" customHeight="1">
      <c r="A148" s="147"/>
      <c r="B148" s="621" t="s">
        <v>267</v>
      </c>
      <c r="C148" s="621"/>
      <c r="D148" s="621"/>
      <c r="E148" s="621"/>
      <c r="F148" s="621"/>
      <c r="G148" s="621"/>
      <c r="H148" s="163"/>
    </row>
    <row r="149" spans="1:8" s="8" customFormat="1" ht="46.5">
      <c r="A149" s="147"/>
      <c r="B149" s="50" t="s">
        <v>33</v>
      </c>
      <c r="C149" s="530" t="s">
        <v>40</v>
      </c>
      <c r="D149" s="530"/>
      <c r="E149" s="50" t="s">
        <v>84</v>
      </c>
      <c r="F149" s="50" t="s">
        <v>48</v>
      </c>
      <c r="G149" s="50" t="s">
        <v>47</v>
      </c>
      <c r="H149" s="163"/>
    </row>
    <row r="150" spans="1:8" s="8" customFormat="1" ht="18.75" customHeight="1">
      <c r="A150" s="147"/>
      <c r="B150" s="50">
        <v>1</v>
      </c>
      <c r="C150" s="567" t="s">
        <v>334</v>
      </c>
      <c r="D150" s="567"/>
      <c r="E150" s="238">
        <f>G150/F150</f>
        <v>818.0359804130296</v>
      </c>
      <c r="F150" s="238">
        <v>46.97</v>
      </c>
      <c r="G150" s="239">
        <v>38423.15</v>
      </c>
      <c r="H150" s="163"/>
    </row>
    <row r="151" spans="1:8" s="8" customFormat="1" ht="15">
      <c r="A151" s="147"/>
      <c r="B151" s="50">
        <v>2</v>
      </c>
      <c r="C151" s="567" t="s">
        <v>333</v>
      </c>
      <c r="D151" s="567"/>
      <c r="E151" s="238">
        <f>G151/F151</f>
        <v>641.8626126126127</v>
      </c>
      <c r="F151" s="238">
        <v>26.64</v>
      </c>
      <c r="G151" s="239">
        <v>17099.22</v>
      </c>
      <c r="H151" s="163"/>
    </row>
    <row r="152" spans="1:8" s="9" customFormat="1" ht="15.75" customHeight="1">
      <c r="A152" s="172"/>
      <c r="B152" s="585" t="s">
        <v>710</v>
      </c>
      <c r="C152" s="586"/>
      <c r="D152" s="586"/>
      <c r="E152" s="586"/>
      <c r="F152" s="587"/>
      <c r="G152" s="362">
        <f>G150+G151</f>
        <v>55522.37</v>
      </c>
      <c r="H152" s="22"/>
    </row>
    <row r="153" spans="1:8" s="8" customFormat="1" ht="15">
      <c r="A153" s="147"/>
      <c r="B153" s="50">
        <v>3</v>
      </c>
      <c r="C153" s="567" t="s">
        <v>771</v>
      </c>
      <c r="D153" s="567"/>
      <c r="E153" s="238">
        <f>G153/F153</f>
        <v>20620.810778443116</v>
      </c>
      <c r="F153" s="238">
        <v>8.35</v>
      </c>
      <c r="G153" s="239">
        <f>122183.77+50000</f>
        <v>172183.77000000002</v>
      </c>
      <c r="H153" s="163"/>
    </row>
    <row r="154" spans="1:8" s="8" customFormat="1" ht="19.5" customHeight="1">
      <c r="A154" s="147"/>
      <c r="B154" s="50">
        <v>4</v>
      </c>
      <c r="C154" s="567" t="s">
        <v>795</v>
      </c>
      <c r="D154" s="567"/>
      <c r="E154" s="238">
        <f>G154/F154</f>
        <v>39.25399843835811</v>
      </c>
      <c r="F154" s="238">
        <v>2676.67</v>
      </c>
      <c r="G154" s="239">
        <v>105070</v>
      </c>
      <c r="H154" s="163"/>
    </row>
    <row r="155" spans="1:8" s="8" customFormat="1" ht="15">
      <c r="A155" s="147"/>
      <c r="B155" s="50">
        <v>5</v>
      </c>
      <c r="C155" s="567" t="s">
        <v>332</v>
      </c>
      <c r="D155" s="567"/>
      <c r="E155" s="238">
        <f>G155/F155</f>
        <v>654.2792792792793</v>
      </c>
      <c r="F155" s="238">
        <v>26.64</v>
      </c>
      <c r="G155" s="239">
        <v>17430</v>
      </c>
      <c r="H155" s="163"/>
    </row>
    <row r="156" spans="1:8" s="9" customFormat="1" ht="15.75" customHeight="1">
      <c r="A156" s="172"/>
      <c r="B156" s="585" t="s">
        <v>711</v>
      </c>
      <c r="C156" s="586"/>
      <c r="D156" s="586"/>
      <c r="E156" s="586"/>
      <c r="F156" s="587"/>
      <c r="G156" s="362">
        <f>G153+G154+G155</f>
        <v>294683.77</v>
      </c>
      <c r="H156" s="22"/>
    </row>
    <row r="157" spans="1:8" s="9" customFormat="1" ht="15.75" customHeight="1">
      <c r="A157" s="172"/>
      <c r="B157" s="585" t="s">
        <v>73</v>
      </c>
      <c r="C157" s="586"/>
      <c r="D157" s="586"/>
      <c r="E157" s="586"/>
      <c r="F157" s="587"/>
      <c r="G157" s="122">
        <f>G152+G156</f>
        <v>350206.14</v>
      </c>
      <c r="H157" s="22"/>
    </row>
    <row r="158" spans="1:8" s="8" customFormat="1" ht="25.5" customHeight="1">
      <c r="A158" s="147"/>
      <c r="B158" s="582" t="s">
        <v>269</v>
      </c>
      <c r="C158" s="582"/>
      <c r="D158" s="582"/>
      <c r="E158" s="582"/>
      <c r="F158" s="582"/>
      <c r="G158" s="582"/>
      <c r="H158" s="163"/>
    </row>
    <row r="159" spans="1:8" s="8" customFormat="1" ht="30.75" customHeight="1">
      <c r="A159" s="147"/>
      <c r="B159" s="50" t="s">
        <v>33</v>
      </c>
      <c r="C159" s="530" t="s">
        <v>40</v>
      </c>
      <c r="D159" s="530"/>
      <c r="E159" s="50" t="s">
        <v>50</v>
      </c>
      <c r="F159" s="27" t="s">
        <v>51</v>
      </c>
      <c r="G159" s="50" t="s">
        <v>47</v>
      </c>
      <c r="H159" s="163"/>
    </row>
    <row r="160" spans="1:8" s="8" customFormat="1" ht="0.75" customHeight="1" hidden="1">
      <c r="A160" s="147"/>
      <c r="B160" s="118">
        <v>1</v>
      </c>
      <c r="C160" s="567" t="s">
        <v>312</v>
      </c>
      <c r="D160" s="567"/>
      <c r="E160" s="118">
        <v>1</v>
      </c>
      <c r="F160" s="158">
        <v>12</v>
      </c>
      <c r="G160" s="123">
        <f>2360-2360</f>
        <v>0</v>
      </c>
      <c r="H160" s="174"/>
    </row>
    <row r="161" spans="1:8" s="8" customFormat="1" ht="17.25" customHeight="1" hidden="1">
      <c r="A161" s="147"/>
      <c r="B161" s="118">
        <v>2</v>
      </c>
      <c r="C161" s="567" t="s">
        <v>398</v>
      </c>
      <c r="D161" s="567"/>
      <c r="E161" s="118">
        <v>1</v>
      </c>
      <c r="F161" s="158">
        <v>12</v>
      </c>
      <c r="G161" s="123">
        <f>15000-10000-5000</f>
        <v>0</v>
      </c>
      <c r="H161" s="174"/>
    </row>
    <row r="162" spans="1:8" s="8" customFormat="1" ht="15" customHeight="1" hidden="1">
      <c r="A162" s="147"/>
      <c r="B162" s="118">
        <v>1</v>
      </c>
      <c r="C162" s="567" t="s">
        <v>532</v>
      </c>
      <c r="D162" s="567"/>
      <c r="E162" s="118">
        <v>1</v>
      </c>
      <c r="F162" s="158">
        <v>2</v>
      </c>
      <c r="G162" s="123">
        <f>3000+3000-1000-5000</f>
        <v>0</v>
      </c>
      <c r="H162" s="174"/>
    </row>
    <row r="163" spans="1:8" s="8" customFormat="1" ht="15" customHeight="1">
      <c r="A163" s="147"/>
      <c r="B163" s="118">
        <v>1</v>
      </c>
      <c r="C163" s="567" t="s">
        <v>452</v>
      </c>
      <c r="D163" s="567"/>
      <c r="E163" s="118">
        <v>1</v>
      </c>
      <c r="F163" s="158">
        <v>1</v>
      </c>
      <c r="G163" s="123">
        <v>1000</v>
      </c>
      <c r="H163" s="174"/>
    </row>
    <row r="164" spans="1:8" s="9" customFormat="1" ht="15">
      <c r="A164" s="172"/>
      <c r="B164" s="565" t="s">
        <v>69</v>
      </c>
      <c r="C164" s="565"/>
      <c r="D164" s="565"/>
      <c r="E164" s="565"/>
      <c r="F164" s="565"/>
      <c r="G164" s="122">
        <f>SUM(G160:G163)</f>
        <v>1000</v>
      </c>
      <c r="H164" s="175"/>
    </row>
    <row r="165" spans="1:8" s="8" customFormat="1" ht="21" customHeight="1">
      <c r="A165" s="147"/>
      <c r="B165" s="559" t="s">
        <v>270</v>
      </c>
      <c r="C165" s="559"/>
      <c r="D165" s="559"/>
      <c r="E165" s="559"/>
      <c r="F165" s="559"/>
      <c r="G165" s="559"/>
      <c r="H165" s="163"/>
    </row>
    <row r="166" spans="1:8" s="8" customFormat="1" ht="11.25" customHeight="1" hidden="1">
      <c r="A166" s="147"/>
      <c r="B166" s="163"/>
      <c r="C166" s="163"/>
      <c r="D166" s="164"/>
      <c r="E166" s="163"/>
      <c r="F166" s="163"/>
      <c r="G166" s="163"/>
      <c r="H166" s="163"/>
    </row>
    <row r="167" spans="1:8" s="8" customFormat="1" ht="30.75">
      <c r="A167" s="147"/>
      <c r="B167" s="50" t="s">
        <v>33</v>
      </c>
      <c r="C167" s="533" t="s">
        <v>40</v>
      </c>
      <c r="D167" s="534"/>
      <c r="E167" s="535"/>
      <c r="F167" s="50" t="s">
        <v>52</v>
      </c>
      <c r="G167" s="50" t="s">
        <v>53</v>
      </c>
      <c r="H167" s="163"/>
    </row>
    <row r="168" spans="1:8" s="8" customFormat="1" ht="14.25" customHeight="1">
      <c r="A168" s="147"/>
      <c r="B168" s="118">
        <v>1</v>
      </c>
      <c r="C168" s="571" t="s">
        <v>504</v>
      </c>
      <c r="D168" s="572"/>
      <c r="E168" s="573"/>
      <c r="F168" s="173" t="s">
        <v>313</v>
      </c>
      <c r="G168" s="179">
        <v>1500</v>
      </c>
      <c r="H168" s="174"/>
    </row>
    <row r="169" spans="1:8" s="8" customFormat="1" ht="15" customHeight="1" hidden="1">
      <c r="A169" s="147"/>
      <c r="B169" s="118">
        <v>2</v>
      </c>
      <c r="C169" s="571" t="s">
        <v>542</v>
      </c>
      <c r="D169" s="572"/>
      <c r="E169" s="573"/>
      <c r="F169" s="173" t="s">
        <v>313</v>
      </c>
      <c r="G169" s="179">
        <f>5000+23202+582+2360+5000+2681-31060-102-7663</f>
        <v>0</v>
      </c>
      <c r="H169" s="174"/>
    </row>
    <row r="170" spans="1:8" s="8" customFormat="1" ht="15" customHeight="1" hidden="1">
      <c r="A170" s="147"/>
      <c r="B170" s="118">
        <v>2</v>
      </c>
      <c r="C170" s="571" t="s">
        <v>595</v>
      </c>
      <c r="D170" s="572"/>
      <c r="E170" s="573"/>
      <c r="F170" s="173" t="s">
        <v>313</v>
      </c>
      <c r="G170" s="179">
        <f>10000+2323.43-7323.43+10000-6546.88+2047.47-1800-4700.59-102-3898</f>
        <v>0</v>
      </c>
      <c r="H170" s="174"/>
    </row>
    <row r="171" spans="1:8" s="8" customFormat="1" ht="15" customHeight="1" hidden="1">
      <c r="A171" s="147"/>
      <c r="B171" s="118">
        <v>3</v>
      </c>
      <c r="C171" s="571" t="s">
        <v>773</v>
      </c>
      <c r="D171" s="572"/>
      <c r="E171" s="573"/>
      <c r="F171" s="173" t="s">
        <v>313</v>
      </c>
      <c r="G171" s="179">
        <f>66350+1800-68150</f>
        <v>0</v>
      </c>
      <c r="H171" s="174"/>
    </row>
    <row r="172" spans="1:8" s="8" customFormat="1" ht="18" customHeight="1">
      <c r="A172" s="147"/>
      <c r="B172" s="574" t="s">
        <v>71</v>
      </c>
      <c r="C172" s="575"/>
      <c r="D172" s="575"/>
      <c r="E172" s="575"/>
      <c r="F172" s="576"/>
      <c r="G172" s="180">
        <f>SUM(G168:G171)</f>
        <v>1500</v>
      </c>
      <c r="H172" s="163"/>
    </row>
    <row r="173" spans="1:8" s="8" customFormat="1" ht="8.25" customHeight="1" hidden="1">
      <c r="A173" s="147"/>
      <c r="B173" s="181"/>
      <c r="C173" s="182"/>
      <c r="D173" s="182"/>
      <c r="E173" s="182"/>
      <c r="F173" s="181"/>
      <c r="G173" s="183"/>
      <c r="H173" s="163"/>
    </row>
    <row r="174" spans="1:8" s="8" customFormat="1" ht="17.25" customHeight="1" hidden="1">
      <c r="A174" s="147"/>
      <c r="B174" s="561" t="s">
        <v>271</v>
      </c>
      <c r="C174" s="561"/>
      <c r="D174" s="561"/>
      <c r="E174" s="561"/>
      <c r="F174" s="561"/>
      <c r="G174" s="561"/>
      <c r="H174" s="163"/>
    </row>
    <row r="175" spans="1:8" s="8" customFormat="1" ht="15.75" customHeight="1" hidden="1">
      <c r="A175" s="147"/>
      <c r="B175" s="206"/>
      <c r="C175" s="206"/>
      <c r="D175" s="206"/>
      <c r="E175" s="206"/>
      <c r="F175" s="206"/>
      <c r="G175" s="206"/>
      <c r="H175" s="163"/>
    </row>
    <row r="176" spans="1:8" s="8" customFormat="1" ht="30" customHeight="1" hidden="1">
      <c r="A176" s="147"/>
      <c r="B176" s="50" t="s">
        <v>33</v>
      </c>
      <c r="C176" s="533" t="s">
        <v>40</v>
      </c>
      <c r="D176" s="535"/>
      <c r="E176" s="50" t="s">
        <v>54</v>
      </c>
      <c r="F176" s="50" t="s">
        <v>55</v>
      </c>
      <c r="G176" s="50" t="s">
        <v>47</v>
      </c>
      <c r="H176" s="163"/>
    </row>
    <row r="177" spans="1:8" s="8" customFormat="1" ht="15.75" customHeight="1" hidden="1">
      <c r="A177" s="147"/>
      <c r="B177" s="26">
        <v>1</v>
      </c>
      <c r="C177" s="615">
        <v>2</v>
      </c>
      <c r="D177" s="616"/>
      <c r="E177" s="26">
        <v>3</v>
      </c>
      <c r="F177" s="26">
        <v>4</v>
      </c>
      <c r="G177" s="50">
        <v>5</v>
      </c>
      <c r="H177" s="163"/>
    </row>
    <row r="178" spans="1:8" s="8" customFormat="1" ht="15.75" customHeight="1" hidden="1">
      <c r="A178" s="147"/>
      <c r="B178" s="26"/>
      <c r="C178" s="615"/>
      <c r="D178" s="616"/>
      <c r="E178" s="26"/>
      <c r="F178" s="26"/>
      <c r="G178" s="50"/>
      <c r="H178" s="163"/>
    </row>
    <row r="179" spans="1:8" s="8" customFormat="1" ht="15.75" customHeight="1" hidden="1">
      <c r="A179" s="147"/>
      <c r="B179" s="26"/>
      <c r="C179" s="571"/>
      <c r="D179" s="573"/>
      <c r="E179" s="173"/>
      <c r="F179" s="184"/>
      <c r="G179" s="184"/>
      <c r="H179" s="174"/>
    </row>
    <row r="180" spans="1:8" s="8" customFormat="1" ht="15.75" customHeight="1" hidden="1">
      <c r="A180" s="147"/>
      <c r="B180" s="574" t="s">
        <v>60</v>
      </c>
      <c r="C180" s="575"/>
      <c r="D180" s="575"/>
      <c r="E180" s="575"/>
      <c r="F180" s="576"/>
      <c r="G180" s="161">
        <f>SUM(G179)</f>
        <v>0</v>
      </c>
      <c r="H180" s="174"/>
    </row>
    <row r="181" spans="1:8" s="8" customFormat="1" ht="15.75" customHeight="1" hidden="1">
      <c r="A181" s="147"/>
      <c r="B181" s="181"/>
      <c r="C181" s="182"/>
      <c r="D181" s="182"/>
      <c r="E181" s="182"/>
      <c r="F181" s="181"/>
      <c r="G181" s="183"/>
      <c r="H181" s="174"/>
    </row>
    <row r="182" spans="1:8" s="8" customFormat="1" ht="33" customHeight="1" hidden="1">
      <c r="A182" s="147"/>
      <c r="B182" s="582" t="s">
        <v>274</v>
      </c>
      <c r="C182" s="582"/>
      <c r="D182" s="582"/>
      <c r="E182" s="582"/>
      <c r="F182" s="582"/>
      <c r="G182" s="582"/>
      <c r="H182" s="163"/>
    </row>
    <row r="183" spans="1:8" s="8" customFormat="1" ht="15.75" customHeight="1" hidden="1">
      <c r="A183" s="147"/>
      <c r="B183" s="163"/>
      <c r="C183" s="163"/>
      <c r="D183" s="164"/>
      <c r="E183" s="163"/>
      <c r="F183" s="163"/>
      <c r="G183" s="163"/>
      <c r="H183" s="163"/>
    </row>
    <row r="184" spans="1:8" s="8" customFormat="1" ht="30" customHeight="1" hidden="1">
      <c r="A184" s="147"/>
      <c r="B184" s="50" t="s">
        <v>33</v>
      </c>
      <c r="C184" s="533" t="s">
        <v>40</v>
      </c>
      <c r="D184" s="535"/>
      <c r="E184" s="50" t="s">
        <v>54</v>
      </c>
      <c r="F184" s="50" t="s">
        <v>55</v>
      </c>
      <c r="G184" s="50" t="s">
        <v>47</v>
      </c>
      <c r="H184" s="163"/>
    </row>
    <row r="185" spans="1:8" s="8" customFormat="1" ht="15.75" customHeight="1" hidden="1">
      <c r="A185" s="147"/>
      <c r="B185" s="194">
        <v>1</v>
      </c>
      <c r="C185" s="580">
        <v>2</v>
      </c>
      <c r="D185" s="583"/>
      <c r="E185" s="193">
        <v>3</v>
      </c>
      <c r="F185" s="193">
        <v>4</v>
      </c>
      <c r="G185" s="30">
        <v>5</v>
      </c>
      <c r="H185" s="163"/>
    </row>
    <row r="186" spans="1:8" s="8" customFormat="1" ht="15.75" customHeight="1" hidden="1">
      <c r="A186" s="147"/>
      <c r="B186" s="27"/>
      <c r="C186" s="619"/>
      <c r="D186" s="627"/>
      <c r="E186" s="173"/>
      <c r="F186" s="179"/>
      <c r="G186" s="123"/>
      <c r="H186" s="163"/>
    </row>
    <row r="187" spans="1:8" s="8" customFormat="1" ht="15.75" customHeight="1" hidden="1">
      <c r="A187" s="147"/>
      <c r="B187" s="50"/>
      <c r="C187" s="571"/>
      <c r="D187" s="573"/>
      <c r="E187" s="173"/>
      <c r="F187" s="179"/>
      <c r="G187" s="123"/>
      <c r="H187" s="163"/>
    </row>
    <row r="188" spans="1:8" s="8" customFormat="1" ht="15.75" customHeight="1" hidden="1">
      <c r="A188" s="147"/>
      <c r="B188" s="574" t="s">
        <v>228</v>
      </c>
      <c r="C188" s="575"/>
      <c r="D188" s="575"/>
      <c r="E188" s="575"/>
      <c r="F188" s="576"/>
      <c r="G188" s="68">
        <v>0</v>
      </c>
      <c r="H188" s="163"/>
    </row>
    <row r="189" ht="15.75" customHeight="1" hidden="1"/>
    <row r="190" spans="1:8" s="8" customFormat="1" ht="15.75" customHeight="1" hidden="1">
      <c r="A190" s="147"/>
      <c r="B190" s="559" t="s">
        <v>275</v>
      </c>
      <c r="C190" s="559"/>
      <c r="D190" s="559"/>
      <c r="E190" s="559"/>
      <c r="F190" s="559"/>
      <c r="G190" s="559"/>
      <c r="H190" s="163"/>
    </row>
    <row r="191" spans="1:8" s="8" customFormat="1" ht="15.75" customHeight="1" hidden="1">
      <c r="A191" s="147"/>
      <c r="B191" s="163"/>
      <c r="C191" s="163"/>
      <c r="D191" s="164"/>
      <c r="E191" s="163"/>
      <c r="F191" s="163"/>
      <c r="G191" s="163"/>
      <c r="H191" s="163"/>
    </row>
    <row r="192" spans="1:8" s="8" customFormat="1" ht="30" customHeight="1" hidden="1">
      <c r="A192" s="147"/>
      <c r="B192" s="50" t="s">
        <v>33</v>
      </c>
      <c r="C192" s="533" t="s">
        <v>40</v>
      </c>
      <c r="D192" s="535"/>
      <c r="E192" s="50" t="s">
        <v>54</v>
      </c>
      <c r="F192" s="50" t="s">
        <v>55</v>
      </c>
      <c r="G192" s="50" t="s">
        <v>47</v>
      </c>
      <c r="H192" s="163"/>
    </row>
    <row r="193" spans="1:8" s="8" customFormat="1" ht="15.75" customHeight="1" hidden="1">
      <c r="A193" s="147"/>
      <c r="B193" s="194">
        <v>1</v>
      </c>
      <c r="C193" s="580">
        <v>2</v>
      </c>
      <c r="D193" s="583"/>
      <c r="E193" s="193">
        <v>3</v>
      </c>
      <c r="F193" s="193">
        <v>4</v>
      </c>
      <c r="G193" s="30">
        <v>5</v>
      </c>
      <c r="H193" s="163"/>
    </row>
    <row r="194" spans="1:8" s="8" customFormat="1" ht="15.75" customHeight="1" hidden="1">
      <c r="A194" s="147"/>
      <c r="B194" s="27"/>
      <c r="C194" s="619"/>
      <c r="D194" s="627"/>
      <c r="E194" s="173"/>
      <c r="F194" s="179"/>
      <c r="G194" s="123"/>
      <c r="H194" s="163"/>
    </row>
    <row r="195" spans="1:8" s="8" customFormat="1" ht="15.75" customHeight="1" hidden="1">
      <c r="A195" s="147"/>
      <c r="B195" s="50"/>
      <c r="C195" s="571"/>
      <c r="D195" s="573"/>
      <c r="E195" s="173"/>
      <c r="F195" s="179"/>
      <c r="G195" s="123"/>
      <c r="H195" s="163"/>
    </row>
    <row r="196" spans="1:8" s="8" customFormat="1" ht="15.75" customHeight="1" hidden="1">
      <c r="A196" s="147"/>
      <c r="B196" s="574" t="s">
        <v>229</v>
      </c>
      <c r="C196" s="575"/>
      <c r="D196" s="575"/>
      <c r="E196" s="575"/>
      <c r="F196" s="576"/>
      <c r="G196" s="68">
        <v>0</v>
      </c>
      <c r="H196" s="163"/>
    </row>
    <row r="197" ht="15.75" customHeight="1" hidden="1"/>
    <row r="198" spans="1:8" s="8" customFormat="1" ht="0.75" customHeight="1" hidden="1">
      <c r="A198" s="147"/>
      <c r="B198" s="559" t="s">
        <v>276</v>
      </c>
      <c r="C198" s="559"/>
      <c r="D198" s="559"/>
      <c r="E198" s="559"/>
      <c r="F198" s="559"/>
      <c r="G198" s="559"/>
      <c r="H198" s="163"/>
    </row>
    <row r="199" spans="1:8" s="8" customFormat="1" ht="2.25" customHeight="1" hidden="1">
      <c r="A199" s="147"/>
      <c r="B199" s="163"/>
      <c r="C199" s="163"/>
      <c r="D199" s="164"/>
      <c r="E199" s="163"/>
      <c r="F199" s="163"/>
      <c r="G199" s="163"/>
      <c r="H199" s="163"/>
    </row>
    <row r="200" spans="1:8" s="8" customFormat="1" ht="30.75" hidden="1">
      <c r="A200" s="147"/>
      <c r="B200" s="50" t="s">
        <v>33</v>
      </c>
      <c r="C200" s="533" t="s">
        <v>40</v>
      </c>
      <c r="D200" s="535"/>
      <c r="E200" s="50" t="s">
        <v>54</v>
      </c>
      <c r="F200" s="50" t="s">
        <v>55</v>
      </c>
      <c r="G200" s="50" t="s">
        <v>47</v>
      </c>
      <c r="H200" s="163"/>
    </row>
    <row r="201" spans="1:8" s="8" customFormat="1" ht="15" hidden="1">
      <c r="A201" s="147"/>
      <c r="B201" s="194">
        <v>1</v>
      </c>
      <c r="C201" s="580">
        <v>2</v>
      </c>
      <c r="D201" s="583"/>
      <c r="E201" s="193">
        <v>3</v>
      </c>
      <c r="F201" s="193">
        <v>4</v>
      </c>
      <c r="G201" s="30">
        <v>5</v>
      </c>
      <c r="H201" s="163"/>
    </row>
    <row r="202" spans="1:8" s="8" customFormat="1" ht="15" hidden="1">
      <c r="A202" s="147"/>
      <c r="B202" s="27">
        <v>1</v>
      </c>
      <c r="C202" s="571" t="s">
        <v>406</v>
      </c>
      <c r="D202" s="573"/>
      <c r="E202" s="173">
        <v>2</v>
      </c>
      <c r="F202" s="179">
        <f>G202/E202</f>
        <v>0</v>
      </c>
      <c r="G202" s="123">
        <f>555-555</f>
        <v>0</v>
      </c>
      <c r="H202" s="163"/>
    </row>
    <row r="203" spans="1:8" s="8" customFormat="1" ht="15.75" customHeight="1" hidden="1">
      <c r="A203" s="147"/>
      <c r="B203" s="50"/>
      <c r="C203" s="571"/>
      <c r="D203" s="573"/>
      <c r="E203" s="173"/>
      <c r="F203" s="179"/>
      <c r="G203" s="123"/>
      <c r="H203" s="163"/>
    </row>
    <row r="204" spans="1:8" s="8" customFormat="1" ht="15" hidden="1">
      <c r="A204" s="147"/>
      <c r="B204" s="574" t="s">
        <v>230</v>
      </c>
      <c r="C204" s="575"/>
      <c r="D204" s="575"/>
      <c r="E204" s="575"/>
      <c r="F204" s="576"/>
      <c r="G204" s="68">
        <f>G202+G203</f>
        <v>0</v>
      </c>
      <c r="H204" s="163"/>
    </row>
    <row r="205" ht="0.75" customHeight="1" hidden="1"/>
    <row r="206" spans="1:8" s="8" customFormat="1" ht="15" hidden="1">
      <c r="A206" s="147"/>
      <c r="B206" s="559" t="s">
        <v>273</v>
      </c>
      <c r="C206" s="559"/>
      <c r="D206" s="559"/>
      <c r="E206" s="559"/>
      <c r="F206" s="559"/>
      <c r="G206" s="559"/>
      <c r="H206" s="163"/>
    </row>
    <row r="207" spans="1:8" s="8" customFormat="1" ht="30.75" hidden="1">
      <c r="A207" s="147"/>
      <c r="B207" s="50" t="s">
        <v>33</v>
      </c>
      <c r="C207" s="533" t="s">
        <v>40</v>
      </c>
      <c r="D207" s="535"/>
      <c r="E207" s="50" t="s">
        <v>54</v>
      </c>
      <c r="F207" s="50" t="s">
        <v>55</v>
      </c>
      <c r="G207" s="50" t="s">
        <v>47</v>
      </c>
      <c r="H207" s="163"/>
    </row>
    <row r="208" spans="1:8" s="8" customFormat="1" ht="15" hidden="1">
      <c r="A208" s="147"/>
      <c r="B208" s="27">
        <v>1</v>
      </c>
      <c r="C208" s="571" t="s">
        <v>584</v>
      </c>
      <c r="D208" s="573"/>
      <c r="E208" s="173">
        <v>2</v>
      </c>
      <c r="F208" s="240">
        <f>G208/E208</f>
        <v>0</v>
      </c>
      <c r="G208" s="239">
        <v>0</v>
      </c>
      <c r="H208" s="244"/>
    </row>
    <row r="209" spans="1:8" s="8" customFormat="1" ht="15" hidden="1">
      <c r="A209" s="147"/>
      <c r="B209" s="27">
        <v>2</v>
      </c>
      <c r="C209" s="571" t="s">
        <v>585</v>
      </c>
      <c r="D209" s="573"/>
      <c r="E209" s="173">
        <v>10</v>
      </c>
      <c r="F209" s="240">
        <f>G209/E209</f>
        <v>0</v>
      </c>
      <c r="G209" s="239">
        <v>0</v>
      </c>
      <c r="H209" s="244"/>
    </row>
    <row r="210" spans="1:8" s="8" customFormat="1" ht="15" hidden="1">
      <c r="A210" s="147"/>
      <c r="B210" s="574" t="s">
        <v>57</v>
      </c>
      <c r="C210" s="575"/>
      <c r="D210" s="575"/>
      <c r="E210" s="575"/>
      <c r="F210" s="576"/>
      <c r="G210" s="68">
        <f>G208+G209</f>
        <v>0</v>
      </c>
      <c r="H210" s="244"/>
    </row>
    <row r="211" spans="1:8" s="8" customFormat="1" ht="15" hidden="1">
      <c r="A211" s="147"/>
      <c r="B211" s="559" t="s">
        <v>273</v>
      </c>
      <c r="C211" s="559"/>
      <c r="D211" s="559"/>
      <c r="E211" s="559"/>
      <c r="F211" s="559"/>
      <c r="G211" s="559"/>
      <c r="H211" s="163"/>
    </row>
    <row r="212" spans="1:8" s="8" customFormat="1" ht="29.25" customHeight="1" hidden="1">
      <c r="A212" s="147"/>
      <c r="B212" s="50" t="s">
        <v>33</v>
      </c>
      <c r="C212" s="533" t="s">
        <v>40</v>
      </c>
      <c r="D212" s="535"/>
      <c r="E212" s="50" t="s">
        <v>54</v>
      </c>
      <c r="F212" s="50" t="s">
        <v>55</v>
      </c>
      <c r="G212" s="50" t="s">
        <v>47</v>
      </c>
      <c r="H212" s="163"/>
    </row>
    <row r="213" spans="1:8" s="8" customFormat="1" ht="15" hidden="1">
      <c r="A213" s="147"/>
      <c r="B213" s="27">
        <v>1</v>
      </c>
      <c r="C213" s="571" t="s">
        <v>514</v>
      </c>
      <c r="D213" s="573"/>
      <c r="E213" s="173">
        <v>4</v>
      </c>
      <c r="F213" s="240">
        <f>G213/E213</f>
        <v>0</v>
      </c>
      <c r="G213" s="239">
        <f>293859-33000-48100+32424.98+50850+14325-222712-4303.65-51050-32293.33</f>
        <v>0</v>
      </c>
      <c r="H213" s="244"/>
    </row>
    <row r="214" spans="1:8" s="8" customFormat="1" ht="50.25" customHeight="1" hidden="1">
      <c r="A214" s="147"/>
      <c r="B214" s="27">
        <v>1</v>
      </c>
      <c r="C214" s="571" t="s">
        <v>788</v>
      </c>
      <c r="D214" s="573"/>
      <c r="E214" s="173">
        <v>1</v>
      </c>
      <c r="F214" s="240">
        <f>G214/E214</f>
        <v>0</v>
      </c>
      <c r="G214" s="435">
        <f>56330-14785-11000-10917-2000-17628</f>
        <v>0</v>
      </c>
      <c r="H214" s="244"/>
    </row>
    <row r="215" spans="1:8" s="8" customFormat="1" ht="15" hidden="1">
      <c r="A215" s="147"/>
      <c r="B215" s="50">
        <v>2</v>
      </c>
      <c r="C215" s="569" t="s">
        <v>626</v>
      </c>
      <c r="D215" s="570"/>
      <c r="E215" s="173">
        <v>3</v>
      </c>
      <c r="F215" s="240">
        <f>G215/E215</f>
        <v>0</v>
      </c>
      <c r="G215" s="435">
        <f>250000-50000-200000</f>
        <v>0</v>
      </c>
      <c r="H215" s="244"/>
    </row>
    <row r="216" spans="1:8" s="8" customFormat="1" ht="12.75" customHeight="1" hidden="1">
      <c r="A216" s="147"/>
      <c r="B216" s="574" t="s">
        <v>57</v>
      </c>
      <c r="C216" s="575"/>
      <c r="D216" s="575"/>
      <c r="E216" s="575"/>
      <c r="F216" s="576"/>
      <c r="G216" s="68">
        <f>G214</f>
        <v>0</v>
      </c>
      <c r="H216" s="244"/>
    </row>
    <row r="217" spans="1:8" s="8" customFormat="1" ht="22.5" customHeight="1">
      <c r="A217" s="147"/>
      <c r="B217" s="559" t="s">
        <v>277</v>
      </c>
      <c r="C217" s="559"/>
      <c r="D217" s="559"/>
      <c r="E217" s="559"/>
      <c r="F217" s="559"/>
      <c r="G217" s="559"/>
      <c r="H217" s="163"/>
    </row>
    <row r="218" spans="1:8" s="8" customFormat="1" ht="28.5" customHeight="1">
      <c r="A218" s="147"/>
      <c r="B218" s="50" t="s">
        <v>33</v>
      </c>
      <c r="C218" s="533" t="s">
        <v>40</v>
      </c>
      <c r="D218" s="535"/>
      <c r="E218" s="50" t="s">
        <v>54</v>
      </c>
      <c r="F218" s="50" t="s">
        <v>55</v>
      </c>
      <c r="G218" s="50" t="s">
        <v>47</v>
      </c>
      <c r="H218" s="163"/>
    </row>
    <row r="219" spans="1:9" s="8" customFormat="1" ht="36.75" customHeight="1" hidden="1">
      <c r="A219" s="147"/>
      <c r="B219" s="194" t="s">
        <v>316</v>
      </c>
      <c r="C219" s="557" t="s">
        <v>592</v>
      </c>
      <c r="D219" s="558"/>
      <c r="E219" s="193" t="s">
        <v>586</v>
      </c>
      <c r="F219" s="218">
        <f aca="true" t="shared" si="1" ref="F219:F224">G219/E219</f>
        <v>0</v>
      </c>
      <c r="G219" s="238">
        <v>0</v>
      </c>
      <c r="H219" s="163"/>
      <c r="I219" s="318"/>
    </row>
    <row r="220" spans="1:9" s="8" customFormat="1" ht="81.75" customHeight="1">
      <c r="A220" s="147"/>
      <c r="B220" s="194" t="s">
        <v>316</v>
      </c>
      <c r="C220" s="557" t="s">
        <v>786</v>
      </c>
      <c r="D220" s="558"/>
      <c r="E220" s="193" t="s">
        <v>596</v>
      </c>
      <c r="F220" s="218">
        <f t="shared" si="1"/>
        <v>334.7</v>
      </c>
      <c r="G220" s="238">
        <v>13388</v>
      </c>
      <c r="H220" s="163"/>
      <c r="I220" s="318"/>
    </row>
    <row r="221" spans="1:9" s="8" customFormat="1" ht="3" customHeight="1" hidden="1">
      <c r="A221" s="147"/>
      <c r="B221" s="194" t="s">
        <v>570</v>
      </c>
      <c r="C221" s="557" t="s">
        <v>702</v>
      </c>
      <c r="D221" s="558"/>
      <c r="E221" s="193" t="s">
        <v>586</v>
      </c>
      <c r="F221" s="218">
        <f t="shared" si="1"/>
        <v>0</v>
      </c>
      <c r="G221" s="238">
        <f>7196-6-7190</f>
        <v>0</v>
      </c>
      <c r="H221" s="163"/>
      <c r="I221" s="318"/>
    </row>
    <row r="222" spans="1:9" s="8" customFormat="1" ht="27.75" customHeight="1">
      <c r="A222" s="147"/>
      <c r="B222" s="194" t="s">
        <v>570</v>
      </c>
      <c r="C222" s="557" t="s">
        <v>938</v>
      </c>
      <c r="D222" s="558"/>
      <c r="E222" s="193" t="s">
        <v>939</v>
      </c>
      <c r="F222" s="218">
        <f t="shared" si="1"/>
        <v>37</v>
      </c>
      <c r="G222" s="238">
        <f>5365-4736</f>
        <v>629</v>
      </c>
      <c r="H222" s="163"/>
      <c r="I222" s="318"/>
    </row>
    <row r="223" spans="1:9" s="8" customFormat="1" ht="28.5" customHeight="1" hidden="1">
      <c r="A223" s="147"/>
      <c r="B223" s="194" t="s">
        <v>586</v>
      </c>
      <c r="E223" s="193" t="s">
        <v>596</v>
      </c>
      <c r="F223" s="218">
        <f t="shared" si="1"/>
        <v>0</v>
      </c>
      <c r="G223" s="238">
        <f>3650-3650</f>
        <v>0</v>
      </c>
      <c r="H223" s="163"/>
      <c r="I223" s="318"/>
    </row>
    <row r="224" spans="2:9" ht="30.75" customHeight="1">
      <c r="B224" s="445" t="s">
        <v>617</v>
      </c>
      <c r="C224" s="637" t="s">
        <v>857</v>
      </c>
      <c r="D224" s="638"/>
      <c r="E224" s="446" t="s">
        <v>409</v>
      </c>
      <c r="F224" s="447">
        <f t="shared" si="1"/>
        <v>1438</v>
      </c>
      <c r="G224" s="238">
        <f>5000+1450+917-7367+7190</f>
        <v>7190</v>
      </c>
      <c r="H224" s="168"/>
      <c r="I224" s="448"/>
    </row>
    <row r="225" spans="1:8" s="8" customFormat="1" ht="30" customHeight="1">
      <c r="A225" s="147"/>
      <c r="B225" s="50">
        <v>4</v>
      </c>
      <c r="C225" s="557" t="s">
        <v>940</v>
      </c>
      <c r="D225" s="558"/>
      <c r="E225" s="173">
        <v>8</v>
      </c>
      <c r="F225" s="184">
        <f>G225/E225</f>
        <v>85</v>
      </c>
      <c r="G225" s="433">
        <f>5975-5295</f>
        <v>680</v>
      </c>
      <c r="H225" s="163"/>
    </row>
    <row r="226" spans="1:9" s="8" customFormat="1" ht="14.25" customHeight="1">
      <c r="A226" s="147"/>
      <c r="B226" s="574" t="s">
        <v>231</v>
      </c>
      <c r="C226" s="575"/>
      <c r="D226" s="575"/>
      <c r="E226" s="575"/>
      <c r="F226" s="576"/>
      <c r="G226" s="68">
        <f>G219+G220+G221+G222+G223+G224+G225</f>
        <v>21887</v>
      </c>
      <c r="H226" s="163"/>
      <c r="I226" s="318"/>
    </row>
    <row r="227" spans="1:8" s="8" customFormat="1" ht="1.5" customHeight="1" hidden="1">
      <c r="A227" s="147"/>
      <c r="B227" s="559" t="s">
        <v>278</v>
      </c>
      <c r="C227" s="559"/>
      <c r="D227" s="559"/>
      <c r="E227" s="559"/>
      <c r="F227" s="559"/>
      <c r="G227" s="559"/>
      <c r="H227" s="163"/>
    </row>
    <row r="228" spans="1:8" s="8" customFormat="1" ht="49.5" customHeight="1" hidden="1">
      <c r="A228" s="147"/>
      <c r="B228" s="163"/>
      <c r="C228" s="163"/>
      <c r="D228" s="164"/>
      <c r="E228" s="163"/>
      <c r="F228" s="163"/>
      <c r="G228" s="163"/>
      <c r="H228" s="163"/>
    </row>
    <row r="229" spans="1:8" s="8" customFormat="1" ht="48" customHeight="1" hidden="1">
      <c r="A229" s="147"/>
      <c r="B229" s="50" t="s">
        <v>33</v>
      </c>
      <c r="C229" s="533" t="s">
        <v>40</v>
      </c>
      <c r="D229" s="535"/>
      <c r="E229" s="50" t="s">
        <v>54</v>
      </c>
      <c r="F229" s="50" t="s">
        <v>55</v>
      </c>
      <c r="G229" s="50" t="s">
        <v>47</v>
      </c>
      <c r="H229" s="163"/>
    </row>
    <row r="230" spans="1:8" s="8" customFormat="1" ht="54.75" customHeight="1" hidden="1">
      <c r="A230" s="147"/>
      <c r="B230" s="194">
        <v>1</v>
      </c>
      <c r="C230" s="580">
        <v>2</v>
      </c>
      <c r="D230" s="583"/>
      <c r="E230" s="193">
        <v>3</v>
      </c>
      <c r="F230" s="193">
        <v>4</v>
      </c>
      <c r="G230" s="30">
        <v>5</v>
      </c>
      <c r="H230" s="163"/>
    </row>
    <row r="231" spans="1:8" s="8" customFormat="1" ht="65.25" customHeight="1" hidden="1">
      <c r="A231" s="147"/>
      <c r="B231" s="194" t="s">
        <v>316</v>
      </c>
      <c r="C231" s="557" t="s">
        <v>408</v>
      </c>
      <c r="D231" s="558"/>
      <c r="E231" s="193" t="s">
        <v>409</v>
      </c>
      <c r="F231" s="218">
        <f>G231/E231</f>
        <v>0</v>
      </c>
      <c r="G231" s="238">
        <f>3570-3570</f>
        <v>0</v>
      </c>
      <c r="H231" s="163"/>
    </row>
    <row r="232" spans="1:8" s="8" customFormat="1" ht="67.5" customHeight="1" hidden="1">
      <c r="A232" s="147"/>
      <c r="B232" s="574" t="s">
        <v>59</v>
      </c>
      <c r="C232" s="575"/>
      <c r="D232" s="575"/>
      <c r="E232" s="575"/>
      <c r="F232" s="576"/>
      <c r="G232" s="68">
        <f>G231</f>
        <v>0</v>
      </c>
      <c r="H232" s="163"/>
    </row>
    <row r="233" ht="134.25" customHeight="1" hidden="1"/>
    <row r="234" spans="1:8" s="8" customFormat="1" ht="21" customHeight="1">
      <c r="A234" s="147"/>
      <c r="B234" s="559" t="s">
        <v>279</v>
      </c>
      <c r="C234" s="559"/>
      <c r="D234" s="559"/>
      <c r="E234" s="559"/>
      <c r="F234" s="559"/>
      <c r="G234" s="559"/>
      <c r="H234" s="163"/>
    </row>
    <row r="235" spans="1:8" s="8" customFormat="1" ht="29.25" customHeight="1">
      <c r="A235" s="147"/>
      <c r="B235" s="50" t="s">
        <v>33</v>
      </c>
      <c r="C235" s="533" t="s">
        <v>40</v>
      </c>
      <c r="D235" s="535"/>
      <c r="E235" s="50" t="s">
        <v>54</v>
      </c>
      <c r="F235" s="50" t="s">
        <v>55</v>
      </c>
      <c r="G235" s="50" t="s">
        <v>47</v>
      </c>
      <c r="H235" s="163"/>
    </row>
    <row r="236" spans="1:8" s="8" customFormat="1" ht="24.75" customHeight="1" hidden="1">
      <c r="A236" s="147"/>
      <c r="B236" s="50">
        <v>1</v>
      </c>
      <c r="C236" s="557" t="s">
        <v>774</v>
      </c>
      <c r="D236" s="558"/>
      <c r="E236" s="173">
        <v>14</v>
      </c>
      <c r="F236" s="184">
        <f aca="true" t="shared" si="2" ref="F236:F241">G236/E236</f>
        <v>0</v>
      </c>
      <c r="G236" s="269">
        <f>500+8953+1000+2500+2975+172+8810-24910</f>
        <v>0</v>
      </c>
      <c r="H236" s="163"/>
    </row>
    <row r="237" spans="1:8" s="8" customFormat="1" ht="15" hidden="1">
      <c r="A237" s="147"/>
      <c r="B237" s="50">
        <v>2</v>
      </c>
      <c r="C237" s="571" t="s">
        <v>530</v>
      </c>
      <c r="D237" s="573"/>
      <c r="E237" s="173">
        <v>20</v>
      </c>
      <c r="F237" s="184">
        <f t="shared" si="2"/>
        <v>0</v>
      </c>
      <c r="G237" s="269">
        <f>1000-1000</f>
        <v>0</v>
      </c>
      <c r="H237" s="163"/>
    </row>
    <row r="238" spans="1:8" s="8" customFormat="1" ht="31.5" customHeight="1" hidden="1">
      <c r="A238" s="147"/>
      <c r="B238" s="50">
        <v>3</v>
      </c>
      <c r="C238" s="571" t="s">
        <v>540</v>
      </c>
      <c r="D238" s="573"/>
      <c r="E238" s="173">
        <v>20</v>
      </c>
      <c r="F238" s="184">
        <f t="shared" si="2"/>
        <v>0</v>
      </c>
      <c r="G238" s="123">
        <f>2500-2500</f>
        <v>0</v>
      </c>
      <c r="H238" s="163"/>
    </row>
    <row r="239" spans="1:8" s="8" customFormat="1" ht="3" customHeight="1" hidden="1">
      <c r="A239" s="147"/>
      <c r="B239" s="50">
        <v>12</v>
      </c>
      <c r="C239" s="571" t="s">
        <v>531</v>
      </c>
      <c r="D239" s="573"/>
      <c r="E239" s="173">
        <v>800</v>
      </c>
      <c r="F239" s="184">
        <f t="shared" si="2"/>
        <v>0</v>
      </c>
      <c r="G239" s="123">
        <f>11381+5000-840-1180-14361</f>
        <v>0</v>
      </c>
      <c r="H239" s="163"/>
    </row>
    <row r="240" spans="1:8" s="8" customFormat="1" ht="31.5" customHeight="1" hidden="1">
      <c r="A240" s="147"/>
      <c r="B240" s="50">
        <v>2</v>
      </c>
      <c r="C240" s="571" t="s">
        <v>597</v>
      </c>
      <c r="D240" s="573"/>
      <c r="E240" s="173">
        <v>135</v>
      </c>
      <c r="F240" s="184">
        <f t="shared" si="2"/>
        <v>0</v>
      </c>
      <c r="G240" s="123">
        <f>5975-172-5803</f>
        <v>0</v>
      </c>
      <c r="H240" s="163"/>
    </row>
    <row r="241" spans="1:8" s="8" customFormat="1" ht="81.75" customHeight="1">
      <c r="A241" s="147"/>
      <c r="B241" s="50">
        <v>1</v>
      </c>
      <c r="C241" s="571" t="s">
        <v>785</v>
      </c>
      <c r="D241" s="573"/>
      <c r="E241" s="173">
        <v>1</v>
      </c>
      <c r="F241" s="184">
        <f t="shared" si="2"/>
        <v>10000</v>
      </c>
      <c r="G241" s="269">
        <v>10000</v>
      </c>
      <c r="H241" s="163"/>
    </row>
    <row r="242" spans="1:8" s="8" customFormat="1" ht="31.5" customHeight="1" hidden="1">
      <c r="A242" s="147"/>
      <c r="B242" s="50">
        <v>3</v>
      </c>
      <c r="C242" s="571" t="s">
        <v>794</v>
      </c>
      <c r="D242" s="573"/>
      <c r="E242" s="173">
        <v>17</v>
      </c>
      <c r="F242" s="184">
        <f>G242/E242</f>
        <v>0</v>
      </c>
      <c r="G242" s="269">
        <f>12778.74-3075-7196-536.74+5860-7831</f>
        <v>0</v>
      </c>
      <c r="H242" s="163"/>
    </row>
    <row r="243" spans="1:8" s="8" customFormat="1" ht="15" hidden="1">
      <c r="A243" s="147"/>
      <c r="B243" s="50">
        <v>4</v>
      </c>
      <c r="C243" s="571" t="s">
        <v>775</v>
      </c>
      <c r="D243" s="573"/>
      <c r="E243" s="173">
        <v>100</v>
      </c>
      <c r="F243" s="184">
        <f>G243/E243</f>
        <v>0</v>
      </c>
      <c r="G243" s="269">
        <f>925+1014.76-1939.76</f>
        <v>0</v>
      </c>
      <c r="H243" s="163"/>
    </row>
    <row r="244" spans="1:8" s="8" customFormat="1" ht="15">
      <c r="A244" s="147"/>
      <c r="B244" s="574" t="s">
        <v>56</v>
      </c>
      <c r="C244" s="575"/>
      <c r="D244" s="575"/>
      <c r="E244" s="575"/>
      <c r="F244" s="576"/>
      <c r="G244" s="68">
        <f>G236+G240+G241+G242+G243</f>
        <v>10000</v>
      </c>
      <c r="H244" s="237"/>
    </row>
    <row r="245" spans="2:7" ht="30" customHeight="1" hidden="1">
      <c r="B245" s="582" t="s">
        <v>280</v>
      </c>
      <c r="C245" s="582"/>
      <c r="D245" s="582"/>
      <c r="E245" s="582"/>
      <c r="F245" s="582"/>
      <c r="G245" s="582"/>
    </row>
    <row r="246" spans="2:7" ht="15.75" customHeight="1" hidden="1">
      <c r="B246" s="163"/>
      <c r="C246" s="163"/>
      <c r="D246" s="164"/>
      <c r="E246" s="163"/>
      <c r="F246" s="163"/>
      <c r="G246" s="163"/>
    </row>
    <row r="247" spans="2:7" ht="30" customHeight="1" hidden="1">
      <c r="B247" s="50" t="s">
        <v>33</v>
      </c>
      <c r="C247" s="533" t="s">
        <v>40</v>
      </c>
      <c r="D247" s="535"/>
      <c r="E247" s="50" t="s">
        <v>50</v>
      </c>
      <c r="F247" s="50" t="s">
        <v>51</v>
      </c>
      <c r="G247" s="50" t="s">
        <v>47</v>
      </c>
    </row>
    <row r="248" spans="2:7" ht="15.75" customHeight="1" hidden="1">
      <c r="B248" s="194">
        <v>1</v>
      </c>
      <c r="C248" s="580">
        <v>2</v>
      </c>
      <c r="D248" s="583"/>
      <c r="E248" s="193">
        <v>3</v>
      </c>
      <c r="F248" s="193">
        <v>4</v>
      </c>
      <c r="G248" s="30">
        <v>5</v>
      </c>
    </row>
    <row r="249" spans="2:7" ht="15.75" customHeight="1" hidden="1">
      <c r="B249" s="194"/>
      <c r="C249" s="580"/>
      <c r="D249" s="583"/>
      <c r="E249" s="193"/>
      <c r="F249" s="193"/>
      <c r="G249" s="30"/>
    </row>
    <row r="250" spans="2:7" ht="15.75" customHeight="1" hidden="1">
      <c r="B250" s="50"/>
      <c r="C250" s="571"/>
      <c r="D250" s="573"/>
      <c r="E250" s="173"/>
      <c r="F250" s="179"/>
      <c r="G250" s="123"/>
    </row>
    <row r="251" spans="2:7" ht="15.75" customHeight="1" hidden="1">
      <c r="B251" s="574" t="s">
        <v>232</v>
      </c>
      <c r="C251" s="575"/>
      <c r="D251" s="575"/>
      <c r="E251" s="575"/>
      <c r="F251" s="576"/>
      <c r="G251" s="68">
        <v>0</v>
      </c>
    </row>
    <row r="252" ht="15.75" customHeight="1" hidden="1"/>
    <row r="253" spans="2:7" ht="0.75" customHeight="1">
      <c r="B253" s="582" t="s">
        <v>281</v>
      </c>
      <c r="C253" s="582"/>
      <c r="D253" s="582"/>
      <c r="E253" s="582"/>
      <c r="F253" s="582"/>
      <c r="G253" s="582"/>
    </row>
    <row r="254" spans="2:7" ht="15" hidden="1">
      <c r="B254" s="163"/>
      <c r="C254" s="163"/>
      <c r="D254" s="164"/>
      <c r="E254" s="163"/>
      <c r="F254" s="163"/>
      <c r="G254" s="163"/>
    </row>
    <row r="255" spans="2:7" ht="30.75" hidden="1">
      <c r="B255" s="50" t="s">
        <v>33</v>
      </c>
      <c r="C255" s="533" t="s">
        <v>40</v>
      </c>
      <c r="D255" s="535"/>
      <c r="E255" s="50" t="s">
        <v>54</v>
      </c>
      <c r="F255" s="50" t="s">
        <v>55</v>
      </c>
      <c r="G255" s="50" t="s">
        <v>47</v>
      </c>
    </row>
    <row r="256" spans="2:7" ht="15" hidden="1">
      <c r="B256" s="194">
        <v>1</v>
      </c>
      <c r="C256" s="580">
        <v>2</v>
      </c>
      <c r="D256" s="583"/>
      <c r="E256" s="193">
        <v>3</v>
      </c>
      <c r="F256" s="193">
        <v>4</v>
      </c>
      <c r="G256" s="30">
        <v>5</v>
      </c>
    </row>
    <row r="257" spans="2:7" ht="15.75" customHeight="1" hidden="1">
      <c r="B257" s="194" t="s">
        <v>316</v>
      </c>
      <c r="C257" s="557" t="s">
        <v>410</v>
      </c>
      <c r="D257" s="558"/>
      <c r="E257" s="193" t="s">
        <v>355</v>
      </c>
      <c r="F257" s="218">
        <f>G257/E257</f>
        <v>0</v>
      </c>
      <c r="G257" s="238">
        <f>21285.15-21285.15</f>
        <v>0</v>
      </c>
    </row>
    <row r="258" spans="2:7" ht="15.75" customHeight="1" hidden="1">
      <c r="B258" s="50"/>
      <c r="C258" s="571"/>
      <c r="D258" s="573"/>
      <c r="E258" s="173"/>
      <c r="F258" s="179"/>
      <c r="G258" s="123"/>
    </row>
    <row r="259" spans="2:7" ht="15" hidden="1">
      <c r="B259" s="574" t="s">
        <v>58</v>
      </c>
      <c r="C259" s="575"/>
      <c r="D259" s="575"/>
      <c r="E259" s="575"/>
      <c r="F259" s="576"/>
      <c r="G259" s="68">
        <f>G257</f>
        <v>0</v>
      </c>
    </row>
    <row r="260" ht="15" hidden="1"/>
    <row r="261" spans="2:9" s="131" customFormat="1" ht="0.75" customHeight="1">
      <c r="B261" s="582" t="s">
        <v>281</v>
      </c>
      <c r="C261" s="582"/>
      <c r="D261" s="582"/>
      <c r="E261" s="582"/>
      <c r="F261" s="582"/>
      <c r="G261" s="582"/>
      <c r="I261" s="6"/>
    </row>
    <row r="262" spans="2:9" s="131" customFormat="1" ht="30.75" hidden="1">
      <c r="B262" s="50" t="s">
        <v>33</v>
      </c>
      <c r="C262" s="533" t="s">
        <v>40</v>
      </c>
      <c r="D262" s="535"/>
      <c r="E262" s="50" t="s">
        <v>54</v>
      </c>
      <c r="F262" s="50" t="s">
        <v>55</v>
      </c>
      <c r="G262" s="256" t="s">
        <v>47</v>
      </c>
      <c r="I262" s="6"/>
    </row>
    <row r="263" spans="2:9" s="131" customFormat="1" ht="44.25" customHeight="1" hidden="1">
      <c r="B263" s="194" t="s">
        <v>316</v>
      </c>
      <c r="C263" s="557" t="s">
        <v>701</v>
      </c>
      <c r="D263" s="558"/>
      <c r="E263" s="267" t="s">
        <v>700</v>
      </c>
      <c r="F263" s="322">
        <f>G263/E263</f>
        <v>0</v>
      </c>
      <c r="G263" s="315">
        <f>3075-3075</f>
        <v>0</v>
      </c>
      <c r="H263" s="316"/>
      <c r="I263" s="6"/>
    </row>
    <row r="264" spans="1:7" ht="1.5" customHeight="1" hidden="1">
      <c r="A264" s="6"/>
      <c r="B264" s="50"/>
      <c r="C264" s="569"/>
      <c r="D264" s="570"/>
      <c r="E264" s="173"/>
      <c r="F264" s="179"/>
      <c r="G264" s="269"/>
    </row>
    <row r="265" spans="2:9" s="131" customFormat="1" ht="15" hidden="1">
      <c r="B265" s="574" t="s">
        <v>58</v>
      </c>
      <c r="C265" s="575"/>
      <c r="D265" s="575"/>
      <c r="E265" s="575"/>
      <c r="F265" s="576"/>
      <c r="G265" s="383">
        <f>G263</f>
        <v>0</v>
      </c>
      <c r="I265" s="6"/>
    </row>
    <row r="266" spans="7:9" ht="15">
      <c r="G266" s="325" t="str">
        <f>'Пр.1Титульный лист'!L15</f>
        <v>22.12.2023</v>
      </c>
      <c r="H266" s="266"/>
      <c r="I266" s="266"/>
    </row>
    <row r="267" spans="2:8" ht="15.75" customHeight="1">
      <c r="B267" s="577" t="s">
        <v>712</v>
      </c>
      <c r="C267" s="577"/>
      <c r="D267" s="577"/>
      <c r="E267" s="577"/>
      <c r="F267" s="577"/>
      <c r="G267" s="577"/>
      <c r="H267" s="577"/>
    </row>
    <row r="268" spans="2:8" ht="15.75" customHeight="1">
      <c r="B268" s="577" t="s">
        <v>13</v>
      </c>
      <c r="C268" s="577"/>
      <c r="D268" s="577"/>
      <c r="E268" s="577"/>
      <c r="F268" s="577"/>
      <c r="G268" s="577"/>
      <c r="H268" s="577"/>
    </row>
    <row r="269" spans="2:8" ht="15.75" customHeight="1">
      <c r="B269" s="591" t="s">
        <v>808</v>
      </c>
      <c r="C269" s="591"/>
      <c r="D269" s="591"/>
      <c r="E269" s="591"/>
      <c r="F269" s="591"/>
      <c r="G269" s="591"/>
      <c r="H269" s="591"/>
    </row>
    <row r="270" spans="2:8" ht="15.75" customHeight="1">
      <c r="B270" s="594" t="s">
        <v>674</v>
      </c>
      <c r="C270" s="594"/>
      <c r="D270" s="594"/>
      <c r="E270" s="594"/>
      <c r="F270" s="594"/>
      <c r="G270" s="594"/>
      <c r="H270" s="594"/>
    </row>
    <row r="271" spans="2:8" ht="15.75" customHeight="1" hidden="1">
      <c r="B271" s="577" t="s">
        <v>259</v>
      </c>
      <c r="C271" s="577"/>
      <c r="D271" s="577"/>
      <c r="E271" s="577"/>
      <c r="F271" s="577"/>
      <c r="G271" s="577"/>
      <c r="H271" s="577"/>
    </row>
    <row r="272" ht="15.75" customHeight="1" hidden="1"/>
    <row r="273" spans="2:8" ht="15.75" customHeight="1" hidden="1">
      <c r="B273" s="595" t="s">
        <v>219</v>
      </c>
      <c r="C273" s="595"/>
      <c r="D273" s="595"/>
      <c r="E273" s="595"/>
      <c r="F273" s="595"/>
      <c r="G273" s="595"/>
      <c r="H273" s="595"/>
    </row>
    <row r="274" spans="2:8" ht="15.75" customHeight="1" hidden="1">
      <c r="B274" s="577" t="s">
        <v>261</v>
      </c>
      <c r="C274" s="577"/>
      <c r="D274" s="577"/>
      <c r="E274" s="577"/>
      <c r="F274" s="577"/>
      <c r="G274" s="577"/>
      <c r="H274" s="577"/>
    </row>
    <row r="275" ht="15.75" customHeight="1" hidden="1"/>
    <row r="276" spans="2:8" ht="15.75" customHeight="1" hidden="1">
      <c r="B276" s="592" t="s">
        <v>14</v>
      </c>
      <c r="C276" s="593"/>
      <c r="D276" s="592" t="s">
        <v>19</v>
      </c>
      <c r="E276" s="593"/>
      <c r="F276" s="592" t="s">
        <v>20</v>
      </c>
      <c r="G276" s="593"/>
      <c r="H276" s="596" t="s">
        <v>15</v>
      </c>
    </row>
    <row r="277" spans="2:8" ht="15.75" customHeight="1" hidden="1">
      <c r="B277" s="152" t="s">
        <v>16</v>
      </c>
      <c r="C277" s="152" t="s">
        <v>17</v>
      </c>
      <c r="D277" s="152" t="s">
        <v>16</v>
      </c>
      <c r="E277" s="152" t="s">
        <v>17</v>
      </c>
      <c r="F277" s="152" t="s">
        <v>16</v>
      </c>
      <c r="G277" s="152" t="s">
        <v>17</v>
      </c>
      <c r="H277" s="597"/>
    </row>
    <row r="278" spans="2:8" ht="15.75" customHeight="1" hidden="1">
      <c r="B278" s="152">
        <v>1</v>
      </c>
      <c r="C278" s="152">
        <v>2</v>
      </c>
      <c r="D278" s="152">
        <v>3</v>
      </c>
      <c r="E278" s="152">
        <v>4</v>
      </c>
      <c r="F278" s="152">
        <v>5</v>
      </c>
      <c r="G278" s="152">
        <v>6</v>
      </c>
      <c r="H278" s="153">
        <v>7</v>
      </c>
    </row>
    <row r="279" spans="2:8" ht="15.75" customHeight="1" hidden="1">
      <c r="B279" s="154"/>
      <c r="C279" s="154"/>
      <c r="D279" s="155"/>
      <c r="E279" s="155"/>
      <c r="F279" s="155"/>
      <c r="G279" s="155"/>
      <c r="H279" s="156"/>
    </row>
    <row r="280" spans="2:8" ht="15.75" customHeight="1" hidden="1">
      <c r="B280" s="598" t="s">
        <v>233</v>
      </c>
      <c r="C280" s="599"/>
      <c r="D280" s="599"/>
      <c r="E280" s="599"/>
      <c r="F280" s="599"/>
      <c r="G280" s="600"/>
      <c r="H280" s="157">
        <f>H279</f>
        <v>0</v>
      </c>
    </row>
    <row r="281" spans="2:8" ht="15.75" customHeight="1" hidden="1">
      <c r="B281" s="185"/>
      <c r="C281" s="185"/>
      <c r="D281" s="185"/>
      <c r="E281" s="185"/>
      <c r="F281" s="185"/>
      <c r="G281" s="185"/>
      <c r="H281" s="186"/>
    </row>
    <row r="282" spans="1:8" ht="15.75" customHeight="1" hidden="1">
      <c r="A282" s="147"/>
      <c r="B282" s="582" t="s">
        <v>260</v>
      </c>
      <c r="C282" s="582"/>
      <c r="D282" s="582"/>
      <c r="E282" s="582"/>
      <c r="F282" s="582"/>
      <c r="G282" s="582"/>
      <c r="H282" s="163"/>
    </row>
    <row r="283" spans="1:8" ht="15.75" customHeight="1" hidden="1">
      <c r="A283" s="147"/>
      <c r="B283" s="163"/>
      <c r="C283" s="163"/>
      <c r="D283" s="164"/>
      <c r="E283" s="163"/>
      <c r="F283" s="163"/>
      <c r="G283" s="163"/>
      <c r="H283" s="163"/>
    </row>
    <row r="284" spans="1:8" ht="30" customHeight="1" hidden="1">
      <c r="A284" s="147"/>
      <c r="B284" s="50" t="s">
        <v>33</v>
      </c>
      <c r="C284" s="533" t="s">
        <v>40</v>
      </c>
      <c r="D284" s="535"/>
      <c r="E284" s="50" t="s">
        <v>45</v>
      </c>
      <c r="F284" s="50" t="s">
        <v>46</v>
      </c>
      <c r="G284" s="50" t="s">
        <v>47</v>
      </c>
      <c r="H284" s="163"/>
    </row>
    <row r="285" spans="1:8" ht="15.75" customHeight="1" hidden="1">
      <c r="A285" s="147"/>
      <c r="B285" s="50">
        <v>1</v>
      </c>
      <c r="C285" s="533">
        <v>2</v>
      </c>
      <c r="D285" s="535"/>
      <c r="E285" s="50">
        <v>2</v>
      </c>
      <c r="F285" s="50">
        <v>4</v>
      </c>
      <c r="G285" s="50">
        <v>5</v>
      </c>
      <c r="H285" s="163"/>
    </row>
    <row r="286" spans="1:8" ht="15.75" customHeight="1" hidden="1">
      <c r="A286" s="147"/>
      <c r="B286" s="50"/>
      <c r="C286" s="533"/>
      <c r="D286" s="535"/>
      <c r="E286" s="50"/>
      <c r="F286" s="50"/>
      <c r="G286" s="50"/>
      <c r="H286" s="163"/>
    </row>
    <row r="287" spans="1:8" ht="15.75" customHeight="1" hidden="1">
      <c r="A287" s="147"/>
      <c r="B287" s="50"/>
      <c r="C287" s="609"/>
      <c r="D287" s="611"/>
      <c r="E287" s="50"/>
      <c r="F287" s="169"/>
      <c r="G287" s="123"/>
      <c r="H287" s="163"/>
    </row>
    <row r="288" spans="1:8" ht="15.75" customHeight="1" hidden="1">
      <c r="A288" s="147"/>
      <c r="B288" s="585" t="s">
        <v>222</v>
      </c>
      <c r="C288" s="586"/>
      <c r="D288" s="587"/>
      <c r="E288" s="50" t="s">
        <v>35</v>
      </c>
      <c r="F288" s="170" t="s">
        <v>35</v>
      </c>
      <c r="G288" s="122">
        <f>SUM(G287:G287)</f>
        <v>0</v>
      </c>
      <c r="H288" s="163"/>
    </row>
    <row r="289" spans="2:8" ht="15.75" customHeight="1" hidden="1">
      <c r="B289" s="185"/>
      <c r="C289" s="185"/>
      <c r="D289" s="185"/>
      <c r="E289" s="185"/>
      <c r="F289" s="185"/>
      <c r="G289" s="185"/>
      <c r="H289" s="186"/>
    </row>
    <row r="290" spans="2:8" ht="15.75" customHeight="1" hidden="1">
      <c r="B290" s="577" t="s">
        <v>262</v>
      </c>
      <c r="C290" s="577"/>
      <c r="D290" s="577"/>
      <c r="E290" s="577"/>
      <c r="F290" s="577"/>
      <c r="G290" s="577"/>
      <c r="H290" s="166"/>
    </row>
    <row r="291" ht="15.75" customHeight="1" hidden="1"/>
    <row r="292" spans="2:7" ht="60" customHeight="1" hidden="1">
      <c r="B292" s="50" t="s">
        <v>33</v>
      </c>
      <c r="C292" s="533" t="s">
        <v>21</v>
      </c>
      <c r="D292" s="534"/>
      <c r="E292" s="535"/>
      <c r="F292" s="50" t="s">
        <v>22</v>
      </c>
      <c r="G292" s="50" t="s">
        <v>23</v>
      </c>
    </row>
    <row r="293" spans="2:7" ht="15.75" customHeight="1" hidden="1">
      <c r="B293" s="118">
        <v>1</v>
      </c>
      <c r="C293" s="605">
        <v>2</v>
      </c>
      <c r="D293" s="606"/>
      <c r="E293" s="607"/>
      <c r="F293" s="118">
        <v>3</v>
      </c>
      <c r="G293" s="118">
        <v>4</v>
      </c>
    </row>
    <row r="294" spans="2:7" ht="15.75" customHeight="1" hidden="1">
      <c r="B294" s="118">
        <v>1</v>
      </c>
      <c r="C294" s="609" t="s">
        <v>34</v>
      </c>
      <c r="D294" s="610"/>
      <c r="E294" s="611"/>
      <c r="F294" s="118" t="s">
        <v>35</v>
      </c>
      <c r="G294" s="159">
        <f>SUM(G295:G297)</f>
        <v>0</v>
      </c>
    </row>
    <row r="295" spans="2:7" ht="15.75" customHeight="1" hidden="1">
      <c r="B295" s="118" t="s">
        <v>24</v>
      </c>
      <c r="C295" s="609" t="s">
        <v>36</v>
      </c>
      <c r="D295" s="610"/>
      <c r="E295" s="611"/>
      <c r="F295" s="159">
        <f>H279</f>
        <v>0</v>
      </c>
      <c r="G295" s="159">
        <f>F295*22%</f>
        <v>0</v>
      </c>
    </row>
    <row r="296" spans="2:7" ht="15.75" customHeight="1" hidden="1">
      <c r="B296" s="160" t="s">
        <v>25</v>
      </c>
      <c r="C296" s="609" t="s">
        <v>37</v>
      </c>
      <c r="D296" s="610"/>
      <c r="E296" s="611"/>
      <c r="F296" s="159"/>
      <c r="G296" s="159"/>
    </row>
    <row r="297" spans="2:7" ht="15.75" customHeight="1" hidden="1">
      <c r="B297" s="118" t="s">
        <v>26</v>
      </c>
      <c r="C297" s="609" t="s">
        <v>77</v>
      </c>
      <c r="D297" s="610"/>
      <c r="E297" s="611"/>
      <c r="F297" s="159"/>
      <c r="G297" s="159"/>
    </row>
    <row r="298" spans="2:7" ht="15.75" customHeight="1" hidden="1">
      <c r="B298" s="118">
        <v>2</v>
      </c>
      <c r="C298" s="609" t="s">
        <v>27</v>
      </c>
      <c r="D298" s="610"/>
      <c r="E298" s="611"/>
      <c r="F298" s="118" t="s">
        <v>35</v>
      </c>
      <c r="G298" s="159">
        <f>SUM(G299:G303)</f>
        <v>0</v>
      </c>
    </row>
    <row r="299" spans="2:7" ht="15.75" customHeight="1" hidden="1">
      <c r="B299" s="118" t="s">
        <v>28</v>
      </c>
      <c r="C299" s="609" t="s">
        <v>78</v>
      </c>
      <c r="D299" s="610"/>
      <c r="E299" s="611"/>
      <c r="F299" s="159">
        <f>F295</f>
        <v>0</v>
      </c>
      <c r="G299" s="159">
        <f>F299*2.9%</f>
        <v>0</v>
      </c>
    </row>
    <row r="300" spans="2:7" ht="15.75" customHeight="1" hidden="1">
      <c r="B300" s="118" t="s">
        <v>29</v>
      </c>
      <c r="C300" s="609" t="s">
        <v>79</v>
      </c>
      <c r="D300" s="610"/>
      <c r="E300" s="611"/>
      <c r="F300" s="159"/>
      <c r="G300" s="159"/>
    </row>
    <row r="301" spans="2:7" ht="15.75" customHeight="1" hidden="1">
      <c r="B301" s="118" t="s">
        <v>30</v>
      </c>
      <c r="C301" s="609" t="s">
        <v>76</v>
      </c>
      <c r="D301" s="610"/>
      <c r="E301" s="611"/>
      <c r="F301" s="159">
        <f>F299</f>
        <v>0</v>
      </c>
      <c r="G301" s="159">
        <f>F301*0.2%</f>
        <v>0</v>
      </c>
    </row>
    <row r="302" spans="2:7" ht="15.75" customHeight="1" hidden="1">
      <c r="B302" s="118" t="s">
        <v>31</v>
      </c>
      <c r="C302" s="609" t="s">
        <v>80</v>
      </c>
      <c r="D302" s="610"/>
      <c r="E302" s="611"/>
      <c r="F302" s="159"/>
      <c r="G302" s="159"/>
    </row>
    <row r="303" spans="2:7" ht="15.75" customHeight="1" hidden="1">
      <c r="B303" s="118" t="s">
        <v>32</v>
      </c>
      <c r="C303" s="609" t="s">
        <v>80</v>
      </c>
      <c r="D303" s="610"/>
      <c r="E303" s="611"/>
      <c r="F303" s="159"/>
      <c r="G303" s="159"/>
    </row>
    <row r="304" spans="2:7" ht="15.75" customHeight="1" hidden="1">
      <c r="B304" s="118" t="s">
        <v>38</v>
      </c>
      <c r="C304" s="609" t="s">
        <v>39</v>
      </c>
      <c r="D304" s="610"/>
      <c r="E304" s="611"/>
      <c r="F304" s="159">
        <f>F301</f>
        <v>0</v>
      </c>
      <c r="G304" s="159">
        <f>F304*5.1%</f>
        <v>0</v>
      </c>
    </row>
    <row r="305" spans="2:7" ht="15.75" customHeight="1" hidden="1">
      <c r="B305" s="574" t="s">
        <v>72</v>
      </c>
      <c r="C305" s="575"/>
      <c r="D305" s="575"/>
      <c r="E305" s="576"/>
      <c r="F305" s="118" t="s">
        <v>35</v>
      </c>
      <c r="G305" s="161">
        <f>G294+G298+G304</f>
        <v>0</v>
      </c>
    </row>
    <row r="306" ht="15.75" customHeight="1" hidden="1"/>
    <row r="307" spans="2:7" ht="15">
      <c r="B307" s="559" t="s">
        <v>263</v>
      </c>
      <c r="C307" s="559"/>
      <c r="D307" s="559"/>
      <c r="E307" s="559"/>
      <c r="F307" s="559"/>
      <c r="G307" s="559"/>
    </row>
    <row r="308" spans="2:7" ht="15">
      <c r="B308" s="608" t="s">
        <v>220</v>
      </c>
      <c r="C308" s="608"/>
      <c r="D308" s="608"/>
      <c r="E308" s="608"/>
      <c r="F308" s="608"/>
      <c r="G308" s="608"/>
    </row>
    <row r="309" spans="2:7" ht="78">
      <c r="B309" s="50" t="s">
        <v>33</v>
      </c>
      <c r="C309" s="533" t="s">
        <v>40</v>
      </c>
      <c r="D309" s="535"/>
      <c r="E309" s="50" t="s">
        <v>41</v>
      </c>
      <c r="F309" s="50" t="s">
        <v>42</v>
      </c>
      <c r="G309" s="50" t="s">
        <v>43</v>
      </c>
    </row>
    <row r="310" spans="2:7" ht="15">
      <c r="B310" s="50">
        <v>1</v>
      </c>
      <c r="C310" s="533">
        <v>2</v>
      </c>
      <c r="D310" s="535"/>
      <c r="E310" s="50">
        <v>3</v>
      </c>
      <c r="F310" s="50">
        <v>4</v>
      </c>
      <c r="G310" s="50">
        <v>5</v>
      </c>
    </row>
    <row r="311" spans="2:7" ht="15">
      <c r="B311" s="50">
        <v>1</v>
      </c>
      <c r="C311" s="609" t="s">
        <v>322</v>
      </c>
      <c r="D311" s="611"/>
      <c r="E311" s="238">
        <f>G311/F311%</f>
        <v>1477272.727272727</v>
      </c>
      <c r="F311" s="50">
        <v>2.2</v>
      </c>
      <c r="G311" s="123">
        <v>32500</v>
      </c>
    </row>
    <row r="312" spans="2:7" ht="15.75" customHeight="1" hidden="1">
      <c r="B312" s="50"/>
      <c r="C312" s="609"/>
      <c r="D312" s="611"/>
      <c r="E312" s="123"/>
      <c r="F312" s="50"/>
      <c r="G312" s="123">
        <f>E312*2.2%</f>
        <v>0</v>
      </c>
    </row>
    <row r="313" spans="1:8" ht="15">
      <c r="A313" s="166"/>
      <c r="B313" s="585" t="s">
        <v>223</v>
      </c>
      <c r="C313" s="586"/>
      <c r="D313" s="587"/>
      <c r="E313" s="25"/>
      <c r="F313" s="122"/>
      <c r="G313" s="167">
        <f>SUM(G311:G312)</f>
        <v>32500</v>
      </c>
      <c r="H313" s="166"/>
    </row>
    <row r="314" spans="2:8" ht="15">
      <c r="B314" s="559" t="s">
        <v>264</v>
      </c>
      <c r="C314" s="559"/>
      <c r="D314" s="559"/>
      <c r="E314" s="559"/>
      <c r="F314" s="559"/>
      <c r="G314" s="559"/>
      <c r="H314" s="168"/>
    </row>
    <row r="315" spans="2:8" ht="15">
      <c r="B315" s="608" t="s">
        <v>571</v>
      </c>
      <c r="C315" s="608"/>
      <c r="D315" s="608"/>
      <c r="E315" s="608"/>
      <c r="F315" s="608"/>
      <c r="G315" s="608"/>
      <c r="H315" s="168"/>
    </row>
    <row r="316" spans="1:8" ht="15">
      <c r="A316" s="147"/>
      <c r="B316" s="559" t="s">
        <v>265</v>
      </c>
      <c r="C316" s="559"/>
      <c r="D316" s="559"/>
      <c r="E316" s="559"/>
      <c r="F316" s="559"/>
      <c r="G316" s="559"/>
      <c r="H316" s="163"/>
    </row>
    <row r="317" spans="1:8" ht="30.75">
      <c r="A317" s="147"/>
      <c r="B317" s="50" t="s">
        <v>33</v>
      </c>
      <c r="C317" s="50" t="s">
        <v>40</v>
      </c>
      <c r="D317" s="50" t="s">
        <v>44</v>
      </c>
      <c r="E317" s="50" t="s">
        <v>45</v>
      </c>
      <c r="F317" s="50" t="s">
        <v>46</v>
      </c>
      <c r="G317" s="50" t="s">
        <v>47</v>
      </c>
      <c r="H317" s="163"/>
    </row>
    <row r="318" spans="1:8" ht="15">
      <c r="A318" s="147"/>
      <c r="B318" s="50">
        <v>1</v>
      </c>
      <c r="C318" s="36" t="s">
        <v>2</v>
      </c>
      <c r="D318" s="50">
        <v>1</v>
      </c>
      <c r="E318" s="50">
        <v>12</v>
      </c>
      <c r="F318" s="170">
        <f>G318/E318</f>
        <v>83.33333333333333</v>
      </c>
      <c r="G318" s="238">
        <v>1000</v>
      </c>
      <c r="H318" s="163"/>
    </row>
    <row r="319" spans="1:8" ht="15.75" customHeight="1" hidden="1">
      <c r="A319" s="147"/>
      <c r="B319" s="50"/>
      <c r="C319" s="36"/>
      <c r="D319" s="50"/>
      <c r="E319" s="50"/>
      <c r="F319" s="169"/>
      <c r="G319" s="123"/>
      <c r="H319" s="163"/>
    </row>
    <row r="320" spans="1:8" ht="15.75" customHeight="1">
      <c r="A320" s="147"/>
      <c r="B320" s="585" t="s">
        <v>70</v>
      </c>
      <c r="C320" s="586"/>
      <c r="D320" s="586"/>
      <c r="E320" s="586"/>
      <c r="F320" s="587"/>
      <c r="G320" s="122">
        <f>SUM(G318:G319)</f>
        <v>1000</v>
      </c>
      <c r="H320" s="163"/>
    </row>
    <row r="321" spans="1:8" ht="15.75" customHeight="1" hidden="1">
      <c r="A321" s="172"/>
      <c r="B321" s="582" t="s">
        <v>268</v>
      </c>
      <c r="C321" s="582"/>
      <c r="D321" s="582"/>
      <c r="E321" s="582"/>
      <c r="F321" s="582"/>
      <c r="G321" s="582"/>
      <c r="H321" s="22"/>
    </row>
    <row r="322" spans="1:8" ht="15.75" customHeight="1" hidden="1">
      <c r="A322" s="172"/>
      <c r="B322" s="163"/>
      <c r="C322" s="163"/>
      <c r="D322" s="164"/>
      <c r="E322" s="163"/>
      <c r="F322" s="163"/>
      <c r="G322" s="163"/>
      <c r="H322" s="22"/>
    </row>
    <row r="323" spans="1:8" ht="30" customHeight="1" hidden="1">
      <c r="A323" s="172"/>
      <c r="B323" s="50" t="s">
        <v>33</v>
      </c>
      <c r="C323" s="50" t="s">
        <v>40</v>
      </c>
      <c r="D323" s="50" t="s">
        <v>54</v>
      </c>
      <c r="E323" s="27" t="s">
        <v>285</v>
      </c>
      <c r="F323" s="50" t="s">
        <v>47</v>
      </c>
      <c r="G323" s="8"/>
      <c r="H323" s="22"/>
    </row>
    <row r="324" spans="1:8" ht="15.75" customHeight="1" hidden="1">
      <c r="A324" s="172"/>
      <c r="B324" s="118">
        <v>1</v>
      </c>
      <c r="C324" s="118">
        <v>2</v>
      </c>
      <c r="D324" s="118">
        <v>3</v>
      </c>
      <c r="E324" s="158">
        <v>4</v>
      </c>
      <c r="F324" s="50">
        <v>5</v>
      </c>
      <c r="G324" s="8"/>
      <c r="H324" s="22"/>
    </row>
    <row r="325" spans="1:8" ht="15.75" customHeight="1" hidden="1">
      <c r="A325" s="172"/>
      <c r="B325" s="118"/>
      <c r="C325" s="50"/>
      <c r="D325" s="118"/>
      <c r="E325" s="158"/>
      <c r="F325" s="187"/>
      <c r="G325" s="8"/>
      <c r="H325" s="22"/>
    </row>
    <row r="326" spans="1:8" ht="15.75" customHeight="1" hidden="1">
      <c r="A326" s="172"/>
      <c r="B326" s="118"/>
      <c r="C326" s="50"/>
      <c r="D326" s="118"/>
      <c r="E326" s="158"/>
      <c r="F326" s="187"/>
      <c r="G326" s="8"/>
      <c r="H326" s="22"/>
    </row>
    <row r="327" spans="1:8" ht="15.75" customHeight="1" hidden="1">
      <c r="A327" s="147"/>
      <c r="B327" s="574" t="s">
        <v>227</v>
      </c>
      <c r="C327" s="575"/>
      <c r="D327" s="575"/>
      <c r="E327" s="576"/>
      <c r="F327" s="122">
        <f>SUM(F325:F326)</f>
        <v>0</v>
      </c>
      <c r="G327" s="9"/>
      <c r="H327" s="163"/>
    </row>
    <row r="328" spans="1:8" ht="15.75" customHeight="1" hidden="1">
      <c r="A328" s="147"/>
      <c r="B328" s="176"/>
      <c r="C328" s="176"/>
      <c r="D328" s="176"/>
      <c r="E328" s="176"/>
      <c r="F328" s="178"/>
      <c r="G328" s="9"/>
      <c r="H328" s="163"/>
    </row>
    <row r="329" spans="1:8" s="8" customFormat="1" ht="21" customHeight="1">
      <c r="A329" s="147"/>
      <c r="B329" s="621" t="s">
        <v>267</v>
      </c>
      <c r="C329" s="621"/>
      <c r="D329" s="621"/>
      <c r="E329" s="621"/>
      <c r="F329" s="621"/>
      <c r="G329" s="621"/>
      <c r="H329" s="163"/>
    </row>
    <row r="330" spans="1:8" s="8" customFormat="1" ht="46.5">
      <c r="A330" s="147"/>
      <c r="B330" s="50" t="s">
        <v>33</v>
      </c>
      <c r="C330" s="530" t="s">
        <v>40</v>
      </c>
      <c r="D330" s="530"/>
      <c r="E330" s="50" t="s">
        <v>84</v>
      </c>
      <c r="F330" s="50" t="s">
        <v>48</v>
      </c>
      <c r="G330" s="50" t="s">
        <v>47</v>
      </c>
      <c r="H330" s="163"/>
    </row>
    <row r="331" spans="1:8" s="8" customFormat="1" ht="18.75" customHeight="1">
      <c r="A331" s="147"/>
      <c r="B331" s="50">
        <v>1</v>
      </c>
      <c r="C331" s="567" t="s">
        <v>311</v>
      </c>
      <c r="D331" s="567"/>
      <c r="E331" s="238">
        <f>G331/F331</f>
        <v>26238.938053097343</v>
      </c>
      <c r="F331" s="238">
        <v>6.78</v>
      </c>
      <c r="G331" s="239">
        <v>177900</v>
      </c>
      <c r="H331" s="163"/>
    </row>
    <row r="332" spans="1:8" s="9" customFormat="1" ht="15.75" customHeight="1">
      <c r="A332" s="172"/>
      <c r="B332" s="585" t="s">
        <v>711</v>
      </c>
      <c r="C332" s="586"/>
      <c r="D332" s="586"/>
      <c r="E332" s="586"/>
      <c r="F332" s="587"/>
      <c r="G332" s="362">
        <f>G331</f>
        <v>177900</v>
      </c>
      <c r="H332" s="22"/>
    </row>
    <row r="333" spans="1:8" s="8" customFormat="1" ht="15">
      <c r="A333" s="147"/>
      <c r="B333" s="50">
        <v>2</v>
      </c>
      <c r="C333" s="567" t="s">
        <v>334</v>
      </c>
      <c r="D333" s="567"/>
      <c r="E333" s="238">
        <f>G333/F333</f>
        <v>271.91581553698546</v>
      </c>
      <c r="F333" s="238">
        <v>32.31</v>
      </c>
      <c r="G333" s="239">
        <v>8785.6</v>
      </c>
      <c r="H333" s="163"/>
    </row>
    <row r="334" spans="1:8" s="9" customFormat="1" ht="15.75" customHeight="1">
      <c r="A334" s="172"/>
      <c r="B334" s="585" t="s">
        <v>710</v>
      </c>
      <c r="C334" s="586"/>
      <c r="D334" s="586"/>
      <c r="E334" s="586"/>
      <c r="F334" s="587"/>
      <c r="G334" s="362">
        <f>G333</f>
        <v>8785.6</v>
      </c>
      <c r="H334" s="22"/>
    </row>
    <row r="335" spans="1:8" s="9" customFormat="1" ht="15.75" customHeight="1">
      <c r="A335" s="172"/>
      <c r="B335" s="585" t="s">
        <v>73</v>
      </c>
      <c r="C335" s="586"/>
      <c r="D335" s="586"/>
      <c r="E335" s="586"/>
      <c r="F335" s="587"/>
      <c r="G335" s="122">
        <f>G332+G334</f>
        <v>186685.6</v>
      </c>
      <c r="H335" s="22"/>
    </row>
    <row r="336" spans="1:8" ht="15.75" customHeight="1">
      <c r="A336" s="147"/>
      <c r="B336" s="582" t="s">
        <v>269</v>
      </c>
      <c r="C336" s="582"/>
      <c r="D336" s="582"/>
      <c r="E336" s="582"/>
      <c r="F336" s="582"/>
      <c r="G336" s="582"/>
      <c r="H336" s="163"/>
    </row>
    <row r="337" spans="1:8" ht="30.75">
      <c r="A337" s="147"/>
      <c r="B337" s="50" t="s">
        <v>33</v>
      </c>
      <c r="C337" s="50" t="s">
        <v>40</v>
      </c>
      <c r="D337" s="50" t="s">
        <v>50</v>
      </c>
      <c r="E337" s="27" t="s">
        <v>51</v>
      </c>
      <c r="F337" s="50" t="s">
        <v>47</v>
      </c>
      <c r="G337" s="8"/>
      <c r="H337" s="163"/>
    </row>
    <row r="338" spans="1:8" ht="30.75">
      <c r="A338" s="147"/>
      <c r="B338" s="118">
        <v>1</v>
      </c>
      <c r="C338" s="36" t="s">
        <v>312</v>
      </c>
      <c r="D338" s="118">
        <v>1</v>
      </c>
      <c r="E338" s="158">
        <v>12</v>
      </c>
      <c r="F338" s="123">
        <v>15000</v>
      </c>
      <c r="G338" s="8"/>
      <c r="H338" s="174"/>
    </row>
    <row r="339" spans="1:8" ht="15">
      <c r="A339" s="172"/>
      <c r="B339" s="574" t="s">
        <v>69</v>
      </c>
      <c r="C339" s="575"/>
      <c r="D339" s="575"/>
      <c r="E339" s="576"/>
      <c r="F339" s="122">
        <f>SUM(F338:F338)</f>
        <v>15000</v>
      </c>
      <c r="G339" s="9"/>
      <c r="H339" s="175"/>
    </row>
    <row r="340" spans="1:8" ht="15">
      <c r="A340" s="147"/>
      <c r="B340" s="559" t="s">
        <v>270</v>
      </c>
      <c r="C340" s="559"/>
      <c r="D340" s="559"/>
      <c r="E340" s="559"/>
      <c r="F340" s="559"/>
      <c r="G340" s="559"/>
      <c r="H340" s="163"/>
    </row>
    <row r="341" spans="1:8" ht="29.25" customHeight="1">
      <c r="A341" s="147"/>
      <c r="B341" s="50" t="s">
        <v>33</v>
      </c>
      <c r="C341" s="533" t="s">
        <v>40</v>
      </c>
      <c r="D341" s="534"/>
      <c r="E341" s="535"/>
      <c r="F341" s="50" t="s">
        <v>52</v>
      </c>
      <c r="G341" s="50" t="s">
        <v>53</v>
      </c>
      <c r="H341" s="163"/>
    </row>
    <row r="342" spans="1:8" ht="15">
      <c r="A342" s="147"/>
      <c r="B342" s="26">
        <v>1</v>
      </c>
      <c r="C342" s="615">
        <v>2</v>
      </c>
      <c r="D342" s="633"/>
      <c r="E342" s="616"/>
      <c r="F342" s="26">
        <v>3</v>
      </c>
      <c r="G342" s="26">
        <v>4</v>
      </c>
      <c r="H342" s="163"/>
    </row>
    <row r="343" spans="1:8" ht="15.75" customHeight="1">
      <c r="A343" s="147"/>
      <c r="B343" s="118">
        <v>1</v>
      </c>
      <c r="C343" s="571" t="s">
        <v>314</v>
      </c>
      <c r="D343" s="572"/>
      <c r="E343" s="573"/>
      <c r="F343" s="173" t="s">
        <v>313</v>
      </c>
      <c r="G343" s="179">
        <v>5000</v>
      </c>
      <c r="H343" s="174"/>
    </row>
    <row r="344" spans="1:8" ht="15">
      <c r="A344" s="147"/>
      <c r="B344" s="574" t="s">
        <v>71</v>
      </c>
      <c r="C344" s="575"/>
      <c r="D344" s="575"/>
      <c r="E344" s="575"/>
      <c r="F344" s="576"/>
      <c r="G344" s="180">
        <f>SUM(G343:G343)</f>
        <v>5000</v>
      </c>
      <c r="H344" s="163"/>
    </row>
    <row r="345" spans="1:8" ht="15" hidden="1">
      <c r="A345" s="147"/>
      <c r="B345" s="561" t="s">
        <v>271</v>
      </c>
      <c r="C345" s="561"/>
      <c r="D345" s="561"/>
      <c r="E345" s="561"/>
      <c r="F345" s="561"/>
      <c r="G345" s="561"/>
      <c r="H345" s="163"/>
    </row>
    <row r="346" spans="1:8" ht="15" hidden="1">
      <c r="A346" s="147"/>
      <c r="B346" s="206"/>
      <c r="C346" s="206"/>
      <c r="D346" s="206"/>
      <c r="E346" s="206"/>
      <c r="F346" s="206"/>
      <c r="G346" s="206"/>
      <c r="H346" s="163"/>
    </row>
    <row r="347" spans="1:8" ht="30.75" hidden="1">
      <c r="A347" s="147"/>
      <c r="B347" s="50" t="s">
        <v>33</v>
      </c>
      <c r="C347" s="530" t="s">
        <v>40</v>
      </c>
      <c r="D347" s="530"/>
      <c r="E347" s="50" t="s">
        <v>54</v>
      </c>
      <c r="F347" s="50" t="s">
        <v>55</v>
      </c>
      <c r="G347" s="50" t="s">
        <v>47</v>
      </c>
      <c r="H347" s="163"/>
    </row>
    <row r="348" spans="1:8" ht="15" hidden="1">
      <c r="A348" s="147"/>
      <c r="B348" s="26">
        <v>1</v>
      </c>
      <c r="C348" s="615">
        <v>2</v>
      </c>
      <c r="D348" s="616"/>
      <c r="E348" s="26">
        <v>3</v>
      </c>
      <c r="F348" s="26">
        <v>4</v>
      </c>
      <c r="G348" s="50">
        <v>5</v>
      </c>
      <c r="H348" s="163"/>
    </row>
    <row r="349" spans="1:8" ht="15" hidden="1">
      <c r="A349" s="147"/>
      <c r="B349" s="26"/>
      <c r="C349" s="615"/>
      <c r="D349" s="616"/>
      <c r="E349" s="26"/>
      <c r="F349" s="26"/>
      <c r="G349" s="50"/>
      <c r="H349" s="163"/>
    </row>
    <row r="350" spans="1:8" ht="15" hidden="1">
      <c r="A350" s="147"/>
      <c r="B350" s="26"/>
      <c r="C350" s="569"/>
      <c r="D350" s="569"/>
      <c r="E350" s="173"/>
      <c r="F350" s="184"/>
      <c r="G350" s="184"/>
      <c r="H350" s="174"/>
    </row>
    <row r="351" spans="1:8" ht="15" hidden="1">
      <c r="A351" s="147"/>
      <c r="B351" s="574" t="s">
        <v>60</v>
      </c>
      <c r="C351" s="575"/>
      <c r="D351" s="575"/>
      <c r="E351" s="575"/>
      <c r="F351" s="576"/>
      <c r="G351" s="161">
        <f>SUM(G350)</f>
        <v>0</v>
      </c>
      <c r="H351" s="174"/>
    </row>
    <row r="352" spans="1:8" ht="15" hidden="1">
      <c r="A352" s="147"/>
      <c r="B352" s="181"/>
      <c r="C352" s="182"/>
      <c r="D352" s="182"/>
      <c r="E352" s="182"/>
      <c r="F352" s="181"/>
      <c r="G352" s="183"/>
      <c r="H352" s="174"/>
    </row>
    <row r="353" spans="1:8" ht="15" hidden="1">
      <c r="A353" s="147"/>
      <c r="B353" s="562" t="s">
        <v>272</v>
      </c>
      <c r="C353" s="562"/>
      <c r="D353" s="562"/>
      <c r="E353" s="562"/>
      <c r="F353" s="562"/>
      <c r="G353" s="562"/>
      <c r="H353" s="174"/>
    </row>
    <row r="354" spans="1:8" ht="15" hidden="1">
      <c r="A354" s="147"/>
      <c r="B354" s="181"/>
      <c r="C354" s="182"/>
      <c r="D354" s="182"/>
      <c r="E354" s="182"/>
      <c r="F354" s="181"/>
      <c r="G354" s="183"/>
      <c r="H354" s="174"/>
    </row>
    <row r="355" spans="1:8" ht="30.75" hidden="1">
      <c r="A355" s="147"/>
      <c r="B355" s="50" t="s">
        <v>33</v>
      </c>
      <c r="C355" s="533" t="s">
        <v>40</v>
      </c>
      <c r="D355" s="534"/>
      <c r="E355" s="535"/>
      <c r="F355" s="50" t="s">
        <v>52</v>
      </c>
      <c r="G355" s="50" t="s">
        <v>53</v>
      </c>
      <c r="H355" s="174"/>
    </row>
    <row r="356" spans="1:8" ht="15" hidden="1">
      <c r="A356" s="147"/>
      <c r="B356" s="118"/>
      <c r="C356" s="571"/>
      <c r="D356" s="617"/>
      <c r="E356" s="618"/>
      <c r="F356" s="173"/>
      <c r="G356" s="184"/>
      <c r="H356" s="174"/>
    </row>
    <row r="357" spans="1:8" ht="15" hidden="1">
      <c r="A357" s="147"/>
      <c r="B357" s="118"/>
      <c r="C357" s="571"/>
      <c r="D357" s="617"/>
      <c r="E357" s="618"/>
      <c r="F357" s="173"/>
      <c r="G357" s="184"/>
      <c r="H357" s="174"/>
    </row>
    <row r="358" spans="1:8" ht="15" hidden="1">
      <c r="A358" s="147"/>
      <c r="B358" s="574" t="s">
        <v>74</v>
      </c>
      <c r="C358" s="575"/>
      <c r="D358" s="575"/>
      <c r="E358" s="575"/>
      <c r="F358" s="576"/>
      <c r="G358" s="161">
        <f>SUM(G356:G357)</f>
        <v>0</v>
      </c>
      <c r="H358" s="174"/>
    </row>
    <row r="359" spans="1:8" ht="15" hidden="1">
      <c r="A359" s="147"/>
      <c r="B359" s="181"/>
      <c r="C359" s="182"/>
      <c r="D359" s="182"/>
      <c r="E359" s="182"/>
      <c r="F359" s="181"/>
      <c r="G359" s="183"/>
      <c r="H359" s="174"/>
    </row>
    <row r="360" spans="1:8" ht="0.75" customHeight="1">
      <c r="A360" s="147"/>
      <c r="B360" s="559" t="s">
        <v>273</v>
      </c>
      <c r="C360" s="559"/>
      <c r="D360" s="559"/>
      <c r="E360" s="559"/>
      <c r="F360" s="559"/>
      <c r="G360" s="559"/>
      <c r="H360" s="163"/>
    </row>
    <row r="361" spans="1:8" ht="30.75" hidden="1">
      <c r="A361" s="147"/>
      <c r="B361" s="50" t="s">
        <v>33</v>
      </c>
      <c r="C361" s="533" t="s">
        <v>40</v>
      </c>
      <c r="D361" s="535"/>
      <c r="E361" s="50" t="s">
        <v>54</v>
      </c>
      <c r="F361" s="50" t="s">
        <v>55</v>
      </c>
      <c r="G361" s="50" t="s">
        <v>47</v>
      </c>
      <c r="H361" s="163"/>
    </row>
    <row r="362" spans="1:8" ht="15" hidden="1">
      <c r="A362" s="147"/>
      <c r="B362" s="27">
        <v>1</v>
      </c>
      <c r="C362" s="571" t="s">
        <v>315</v>
      </c>
      <c r="D362" s="573"/>
      <c r="E362" s="173">
        <v>1</v>
      </c>
      <c r="F362" s="240">
        <f>G362/E362</f>
        <v>0</v>
      </c>
      <c r="G362" s="238">
        <v>0</v>
      </c>
      <c r="H362" s="163"/>
    </row>
    <row r="363" spans="1:8" ht="15" hidden="1">
      <c r="A363" s="147"/>
      <c r="B363" s="50"/>
      <c r="C363" s="569"/>
      <c r="D363" s="570"/>
      <c r="E363" s="173"/>
      <c r="F363" s="179"/>
      <c r="G363" s="123"/>
      <c r="H363" s="163"/>
    </row>
    <row r="364" spans="1:8" ht="15" hidden="1">
      <c r="A364" s="147"/>
      <c r="B364" s="574" t="s">
        <v>57</v>
      </c>
      <c r="C364" s="575"/>
      <c r="D364" s="575"/>
      <c r="E364" s="575"/>
      <c r="F364" s="576"/>
      <c r="G364" s="68">
        <f>G362+G363</f>
        <v>0</v>
      </c>
      <c r="H364" s="163"/>
    </row>
    <row r="365" spans="1:8" ht="15" hidden="1">
      <c r="A365" s="147"/>
      <c r="B365" s="582" t="s">
        <v>274</v>
      </c>
      <c r="C365" s="582"/>
      <c r="D365" s="582"/>
      <c r="E365" s="582"/>
      <c r="F365" s="582"/>
      <c r="G365" s="582"/>
      <c r="H365" s="163"/>
    </row>
    <row r="366" spans="1:8" ht="15" hidden="1">
      <c r="A366" s="147"/>
      <c r="B366" s="163"/>
      <c r="C366" s="163"/>
      <c r="D366" s="164"/>
      <c r="E366" s="163"/>
      <c r="F366" s="163"/>
      <c r="G366" s="163"/>
      <c r="H366" s="163"/>
    </row>
    <row r="367" spans="1:8" ht="30.75" hidden="1">
      <c r="A367" s="147"/>
      <c r="B367" s="50" t="s">
        <v>33</v>
      </c>
      <c r="C367" s="533" t="s">
        <v>40</v>
      </c>
      <c r="D367" s="535"/>
      <c r="E367" s="50" t="s">
        <v>54</v>
      </c>
      <c r="F367" s="50" t="s">
        <v>55</v>
      </c>
      <c r="G367" s="50" t="s">
        <v>47</v>
      </c>
      <c r="H367" s="163"/>
    </row>
    <row r="368" spans="1:8" ht="15" hidden="1">
      <c r="A368" s="147"/>
      <c r="B368" s="194">
        <v>1</v>
      </c>
      <c r="C368" s="580">
        <v>2</v>
      </c>
      <c r="D368" s="581"/>
      <c r="E368" s="193">
        <v>3</v>
      </c>
      <c r="F368" s="193">
        <v>4</v>
      </c>
      <c r="G368" s="30">
        <v>5</v>
      </c>
      <c r="H368" s="163"/>
    </row>
    <row r="369" spans="1:8" ht="15" hidden="1">
      <c r="A369" s="147"/>
      <c r="B369" s="27"/>
      <c r="C369" s="619"/>
      <c r="D369" s="627"/>
      <c r="E369" s="173"/>
      <c r="F369" s="179"/>
      <c r="G369" s="123"/>
      <c r="H369" s="163"/>
    </row>
    <row r="370" spans="1:8" ht="15" hidden="1">
      <c r="A370" s="147"/>
      <c r="B370" s="50"/>
      <c r="C370" s="569"/>
      <c r="D370" s="570"/>
      <c r="E370" s="173"/>
      <c r="F370" s="179"/>
      <c r="G370" s="123"/>
      <c r="H370" s="163"/>
    </row>
    <row r="371" spans="1:8" ht="15" hidden="1">
      <c r="A371" s="147"/>
      <c r="B371" s="574" t="s">
        <v>228</v>
      </c>
      <c r="C371" s="575"/>
      <c r="D371" s="575"/>
      <c r="E371" s="575"/>
      <c r="F371" s="576"/>
      <c r="G371" s="68">
        <v>0</v>
      </c>
      <c r="H371" s="163"/>
    </row>
    <row r="372" ht="15" hidden="1"/>
    <row r="373" spans="1:8" ht="15" hidden="1">
      <c r="A373" s="147"/>
      <c r="B373" s="559" t="s">
        <v>275</v>
      </c>
      <c r="C373" s="559"/>
      <c r="D373" s="559"/>
      <c r="E373" s="559"/>
      <c r="F373" s="559"/>
      <c r="G373" s="559"/>
      <c r="H373" s="163"/>
    </row>
    <row r="374" spans="1:8" ht="15" hidden="1">
      <c r="A374" s="147"/>
      <c r="B374" s="163"/>
      <c r="C374" s="163"/>
      <c r="D374" s="164"/>
      <c r="E374" s="163"/>
      <c r="F374" s="163"/>
      <c r="G374" s="163"/>
      <c r="H374" s="163"/>
    </row>
    <row r="375" spans="1:8" ht="30.75" hidden="1">
      <c r="A375" s="147"/>
      <c r="B375" s="50" t="s">
        <v>33</v>
      </c>
      <c r="C375" s="533" t="s">
        <v>40</v>
      </c>
      <c r="D375" s="535"/>
      <c r="E375" s="50" t="s">
        <v>54</v>
      </c>
      <c r="F375" s="50" t="s">
        <v>55</v>
      </c>
      <c r="G375" s="50" t="s">
        <v>47</v>
      </c>
      <c r="H375" s="163"/>
    </row>
    <row r="376" spans="1:8" ht="15" hidden="1">
      <c r="A376" s="147"/>
      <c r="B376" s="194">
        <v>1</v>
      </c>
      <c r="C376" s="580">
        <v>2</v>
      </c>
      <c r="D376" s="581"/>
      <c r="E376" s="193">
        <v>3</v>
      </c>
      <c r="F376" s="193">
        <v>4</v>
      </c>
      <c r="G376" s="30">
        <v>5</v>
      </c>
      <c r="H376" s="163"/>
    </row>
    <row r="377" spans="1:8" ht="15" hidden="1">
      <c r="A377" s="147"/>
      <c r="B377" s="27"/>
      <c r="C377" s="619"/>
      <c r="D377" s="627"/>
      <c r="E377" s="173"/>
      <c r="F377" s="179"/>
      <c r="G377" s="123"/>
      <c r="H377" s="163"/>
    </row>
    <row r="378" spans="1:8" ht="15" hidden="1">
      <c r="A378" s="147"/>
      <c r="B378" s="50"/>
      <c r="C378" s="569"/>
      <c r="D378" s="570"/>
      <c r="E378" s="173"/>
      <c r="F378" s="179"/>
      <c r="G378" s="123"/>
      <c r="H378" s="163"/>
    </row>
    <row r="379" spans="1:8" ht="15" hidden="1">
      <c r="A379" s="147"/>
      <c r="B379" s="574" t="s">
        <v>229</v>
      </c>
      <c r="C379" s="575"/>
      <c r="D379" s="575"/>
      <c r="E379" s="575"/>
      <c r="F379" s="576"/>
      <c r="G379" s="68">
        <v>0</v>
      </c>
      <c r="H379" s="163"/>
    </row>
    <row r="380" ht="15" hidden="1"/>
    <row r="381" spans="1:8" ht="15">
      <c r="A381" s="147"/>
      <c r="B381" s="559" t="s">
        <v>276</v>
      </c>
      <c r="C381" s="559"/>
      <c r="D381" s="559"/>
      <c r="E381" s="559"/>
      <c r="F381" s="559"/>
      <c r="G381" s="559"/>
      <c r="H381" s="163"/>
    </row>
    <row r="382" spans="1:8" ht="30.75">
      <c r="A382" s="147"/>
      <c r="B382" s="50" t="s">
        <v>33</v>
      </c>
      <c r="C382" s="533" t="s">
        <v>40</v>
      </c>
      <c r="D382" s="535"/>
      <c r="E382" s="50" t="s">
        <v>54</v>
      </c>
      <c r="F382" s="50" t="s">
        <v>55</v>
      </c>
      <c r="G382" s="50" t="s">
        <v>47</v>
      </c>
      <c r="H382" s="163"/>
    </row>
    <row r="383" spans="1:8" ht="15">
      <c r="A383" s="147"/>
      <c r="B383" s="27">
        <v>1</v>
      </c>
      <c r="C383" s="571" t="s">
        <v>545</v>
      </c>
      <c r="D383" s="573"/>
      <c r="E383" s="173">
        <v>2</v>
      </c>
      <c r="F383" s="179">
        <f>G383/E383</f>
        <v>277.5</v>
      </c>
      <c r="G383" s="123">
        <v>555</v>
      </c>
      <c r="H383" s="163"/>
    </row>
    <row r="384" spans="1:8" ht="15" hidden="1">
      <c r="A384" s="147"/>
      <c r="B384" s="50"/>
      <c r="C384" s="569"/>
      <c r="D384" s="570"/>
      <c r="E384" s="173"/>
      <c r="F384" s="179"/>
      <c r="G384" s="123"/>
      <c r="H384" s="163"/>
    </row>
    <row r="385" spans="1:8" ht="15">
      <c r="A385" s="147"/>
      <c r="B385" s="574" t="s">
        <v>230</v>
      </c>
      <c r="C385" s="575"/>
      <c r="D385" s="575"/>
      <c r="E385" s="575"/>
      <c r="F385" s="576"/>
      <c r="G385" s="68">
        <f>G383+G384</f>
        <v>555</v>
      </c>
      <c r="H385" s="163"/>
    </row>
    <row r="386" spans="1:8" ht="15">
      <c r="A386" s="147"/>
      <c r="B386" s="559" t="s">
        <v>277</v>
      </c>
      <c r="C386" s="559"/>
      <c r="D386" s="559"/>
      <c r="E386" s="559"/>
      <c r="F386" s="559"/>
      <c r="G386" s="559"/>
      <c r="H386" s="163"/>
    </row>
    <row r="387" spans="1:8" ht="30.75">
      <c r="A387" s="147"/>
      <c r="B387" s="50" t="s">
        <v>33</v>
      </c>
      <c r="C387" s="533" t="s">
        <v>40</v>
      </c>
      <c r="D387" s="535"/>
      <c r="E387" s="50" t="s">
        <v>54</v>
      </c>
      <c r="F387" s="50" t="s">
        <v>55</v>
      </c>
      <c r="G387" s="50" t="s">
        <v>47</v>
      </c>
      <c r="H387" s="163"/>
    </row>
    <row r="388" spans="1:8" ht="15">
      <c r="A388" s="147"/>
      <c r="B388" s="194" t="s">
        <v>316</v>
      </c>
      <c r="C388" s="557" t="s">
        <v>407</v>
      </c>
      <c r="D388" s="558"/>
      <c r="E388" s="193" t="s">
        <v>449</v>
      </c>
      <c r="F388" s="218">
        <f>G388/E388</f>
        <v>200</v>
      </c>
      <c r="G388" s="238">
        <v>10000</v>
      </c>
      <c r="H388" s="163"/>
    </row>
    <row r="389" spans="1:8" ht="15" hidden="1">
      <c r="A389" s="147"/>
      <c r="B389" s="50"/>
      <c r="C389" s="569"/>
      <c r="D389" s="570"/>
      <c r="E389" s="173"/>
      <c r="F389" s="179"/>
      <c r="G389" s="123"/>
      <c r="H389" s="163"/>
    </row>
    <row r="390" spans="1:8" ht="15">
      <c r="A390" s="147"/>
      <c r="B390" s="574" t="s">
        <v>231</v>
      </c>
      <c r="C390" s="575"/>
      <c r="D390" s="575"/>
      <c r="E390" s="575"/>
      <c r="F390" s="576"/>
      <c r="G390" s="68">
        <f>G388</f>
        <v>10000</v>
      </c>
      <c r="H390" s="163"/>
    </row>
    <row r="391" spans="1:8" ht="15">
      <c r="A391" s="147"/>
      <c r="B391" s="559" t="s">
        <v>278</v>
      </c>
      <c r="C391" s="559"/>
      <c r="D391" s="559"/>
      <c r="E391" s="559"/>
      <c r="F391" s="559"/>
      <c r="G391" s="559"/>
      <c r="H391" s="163"/>
    </row>
    <row r="392" spans="1:8" ht="30.75">
      <c r="A392" s="147"/>
      <c r="B392" s="50" t="s">
        <v>33</v>
      </c>
      <c r="C392" s="533" t="s">
        <v>40</v>
      </c>
      <c r="D392" s="535"/>
      <c r="E392" s="50" t="s">
        <v>54</v>
      </c>
      <c r="F392" s="50" t="s">
        <v>55</v>
      </c>
      <c r="G392" s="50" t="s">
        <v>47</v>
      </c>
      <c r="H392" s="163"/>
    </row>
    <row r="393" spans="1:8" ht="15">
      <c r="A393" s="147"/>
      <c r="B393" s="194" t="s">
        <v>316</v>
      </c>
      <c r="C393" s="557" t="s">
        <v>408</v>
      </c>
      <c r="D393" s="558"/>
      <c r="E393" s="193" t="s">
        <v>570</v>
      </c>
      <c r="F393" s="218">
        <f>G393/E393</f>
        <v>2972.36</v>
      </c>
      <c r="G393" s="238">
        <v>5944.72</v>
      </c>
      <c r="H393" s="163"/>
    </row>
    <row r="394" spans="1:8" ht="15" hidden="1">
      <c r="A394" s="147"/>
      <c r="B394" s="50"/>
      <c r="C394" s="569"/>
      <c r="D394" s="570"/>
      <c r="E394" s="173"/>
      <c r="F394" s="179"/>
      <c r="G394" s="123"/>
      <c r="H394" s="163"/>
    </row>
    <row r="395" spans="1:8" ht="15">
      <c r="A395" s="147"/>
      <c r="B395" s="574" t="s">
        <v>59</v>
      </c>
      <c r="C395" s="575"/>
      <c r="D395" s="575"/>
      <c r="E395" s="575"/>
      <c r="F395" s="576"/>
      <c r="G395" s="68">
        <f>G393</f>
        <v>5944.72</v>
      </c>
      <c r="H395" s="163"/>
    </row>
    <row r="396" spans="2:7" ht="15" hidden="1">
      <c r="B396" s="626" t="s">
        <v>282</v>
      </c>
      <c r="C396" s="626"/>
      <c r="D396" s="626"/>
      <c r="E396" s="626"/>
      <c r="F396" s="626"/>
      <c r="G396" s="626"/>
    </row>
    <row r="397" spans="2:8" ht="15">
      <c r="B397" s="196"/>
      <c r="C397" s="196"/>
      <c r="D397" s="196"/>
      <c r="E397" s="196"/>
      <c r="F397" s="196"/>
      <c r="G397" s="265" t="str">
        <f>'Пр.1Титульный лист'!L15</f>
        <v>22.12.2023</v>
      </c>
      <c r="H397" s="266"/>
    </row>
    <row r="398" spans="2:8" ht="15">
      <c r="B398" s="577" t="s">
        <v>712</v>
      </c>
      <c r="C398" s="577"/>
      <c r="D398" s="577"/>
      <c r="E398" s="577"/>
      <c r="F398" s="577"/>
      <c r="G398" s="577"/>
      <c r="H398" s="577"/>
    </row>
    <row r="399" spans="2:8" ht="15">
      <c r="B399" s="577" t="s">
        <v>13</v>
      </c>
      <c r="C399" s="577"/>
      <c r="D399" s="577"/>
      <c r="E399" s="577"/>
      <c r="F399" s="577"/>
      <c r="G399" s="577"/>
      <c r="H399" s="577"/>
    </row>
    <row r="400" spans="2:8" ht="15">
      <c r="B400" s="691" t="s">
        <v>974</v>
      </c>
      <c r="C400" s="691"/>
      <c r="D400" s="691"/>
      <c r="E400" s="691"/>
      <c r="F400" s="691"/>
      <c r="G400" s="691"/>
      <c r="H400" s="691"/>
    </row>
    <row r="401" spans="2:8" ht="15">
      <c r="B401" s="594" t="s">
        <v>674</v>
      </c>
      <c r="C401" s="594"/>
      <c r="D401" s="594"/>
      <c r="E401" s="594"/>
      <c r="F401" s="594"/>
      <c r="G401" s="594"/>
      <c r="H401" s="594"/>
    </row>
    <row r="402" spans="2:8" ht="15" hidden="1">
      <c r="B402" s="577" t="s">
        <v>259</v>
      </c>
      <c r="C402" s="577"/>
      <c r="D402" s="577"/>
      <c r="E402" s="577"/>
      <c r="F402" s="577"/>
      <c r="G402" s="577"/>
      <c r="H402" s="577"/>
    </row>
    <row r="403" ht="15" hidden="1"/>
    <row r="404" spans="2:8" ht="15" hidden="1">
      <c r="B404" s="595" t="s">
        <v>219</v>
      </c>
      <c r="C404" s="595"/>
      <c r="D404" s="595"/>
      <c r="E404" s="595"/>
      <c r="F404" s="595"/>
      <c r="G404" s="595"/>
      <c r="H404" s="595"/>
    </row>
    <row r="405" spans="2:8" ht="15" hidden="1">
      <c r="B405" s="577" t="s">
        <v>261</v>
      </c>
      <c r="C405" s="577"/>
      <c r="D405" s="577"/>
      <c r="E405" s="577"/>
      <c r="F405" s="577"/>
      <c r="G405" s="577"/>
      <c r="H405" s="577"/>
    </row>
    <row r="406" ht="15" hidden="1"/>
    <row r="407" spans="2:8" ht="15" hidden="1">
      <c r="B407" s="592" t="s">
        <v>14</v>
      </c>
      <c r="C407" s="593"/>
      <c r="D407" s="592" t="s">
        <v>19</v>
      </c>
      <c r="E407" s="593"/>
      <c r="F407" s="592" t="s">
        <v>20</v>
      </c>
      <c r="G407" s="593"/>
      <c r="H407" s="596" t="s">
        <v>15</v>
      </c>
    </row>
    <row r="408" spans="2:8" ht="15" hidden="1">
      <c r="B408" s="152" t="s">
        <v>16</v>
      </c>
      <c r="C408" s="152" t="s">
        <v>17</v>
      </c>
      <c r="D408" s="152" t="s">
        <v>16</v>
      </c>
      <c r="E408" s="152" t="s">
        <v>17</v>
      </c>
      <c r="F408" s="152" t="s">
        <v>16</v>
      </c>
      <c r="G408" s="152" t="s">
        <v>17</v>
      </c>
      <c r="H408" s="597"/>
    </row>
    <row r="409" spans="2:8" ht="15" hidden="1">
      <c r="B409" s="152">
        <v>1</v>
      </c>
      <c r="C409" s="152">
        <v>2</v>
      </c>
      <c r="D409" s="152">
        <v>3</v>
      </c>
      <c r="E409" s="152">
        <v>4</v>
      </c>
      <c r="F409" s="152">
        <v>5</v>
      </c>
      <c r="G409" s="152">
        <v>6</v>
      </c>
      <c r="H409" s="153">
        <v>7</v>
      </c>
    </row>
    <row r="410" spans="2:8" ht="15" hidden="1">
      <c r="B410" s="154"/>
      <c r="C410" s="154"/>
      <c r="D410" s="155"/>
      <c r="E410" s="155"/>
      <c r="F410" s="155"/>
      <c r="G410" s="155"/>
      <c r="H410" s="156"/>
    </row>
    <row r="411" spans="2:8" ht="15" hidden="1">
      <c r="B411" s="598" t="s">
        <v>233</v>
      </c>
      <c r="C411" s="599"/>
      <c r="D411" s="599"/>
      <c r="E411" s="599"/>
      <c r="F411" s="599"/>
      <c r="G411" s="600"/>
      <c r="H411" s="157">
        <f>H410</f>
        <v>0</v>
      </c>
    </row>
    <row r="412" spans="2:8" ht="15" hidden="1">
      <c r="B412" s="185"/>
      <c r="C412" s="185"/>
      <c r="D412" s="185"/>
      <c r="E412" s="185"/>
      <c r="F412" s="185"/>
      <c r="G412" s="185"/>
      <c r="H412" s="186"/>
    </row>
    <row r="413" spans="1:8" ht="15" hidden="1">
      <c r="A413" s="147"/>
      <c r="B413" s="582" t="s">
        <v>260</v>
      </c>
      <c r="C413" s="582"/>
      <c r="D413" s="582"/>
      <c r="E413" s="582"/>
      <c r="F413" s="582"/>
      <c r="G413" s="582"/>
      <c r="H413" s="163"/>
    </row>
    <row r="414" spans="1:8" ht="15" hidden="1">
      <c r="A414" s="147"/>
      <c r="B414" s="163"/>
      <c r="C414" s="163"/>
      <c r="D414" s="164"/>
      <c r="E414" s="163"/>
      <c r="F414" s="163"/>
      <c r="G414" s="163"/>
      <c r="H414" s="163"/>
    </row>
    <row r="415" spans="1:8" ht="30.75" hidden="1">
      <c r="A415" s="147"/>
      <c r="B415" s="50" t="s">
        <v>33</v>
      </c>
      <c r="C415" s="533" t="s">
        <v>40</v>
      </c>
      <c r="D415" s="535"/>
      <c r="E415" s="50" t="s">
        <v>45</v>
      </c>
      <c r="F415" s="50" t="s">
        <v>46</v>
      </c>
      <c r="G415" s="50" t="s">
        <v>47</v>
      </c>
      <c r="H415" s="163"/>
    </row>
    <row r="416" spans="1:8" ht="15" hidden="1">
      <c r="A416" s="147"/>
      <c r="B416" s="50">
        <v>1</v>
      </c>
      <c r="C416" s="533">
        <v>2</v>
      </c>
      <c r="D416" s="535"/>
      <c r="E416" s="50">
        <v>2</v>
      </c>
      <c r="F416" s="50">
        <v>4</v>
      </c>
      <c r="G416" s="50">
        <v>5</v>
      </c>
      <c r="H416" s="163"/>
    </row>
    <row r="417" spans="1:8" ht="15" hidden="1">
      <c r="A417" s="147"/>
      <c r="B417" s="50"/>
      <c r="C417" s="533"/>
      <c r="D417" s="535"/>
      <c r="E417" s="50"/>
      <c r="F417" s="50"/>
      <c r="G417" s="50"/>
      <c r="H417" s="163"/>
    </row>
    <row r="418" spans="1:8" ht="15" hidden="1">
      <c r="A418" s="147"/>
      <c r="B418" s="50"/>
      <c r="C418" s="609"/>
      <c r="D418" s="611"/>
      <c r="E418" s="50"/>
      <c r="F418" s="169"/>
      <c r="G418" s="123"/>
      <c r="H418" s="163"/>
    </row>
    <row r="419" spans="1:8" ht="15" hidden="1">
      <c r="A419" s="147"/>
      <c r="B419" s="585" t="s">
        <v>222</v>
      </c>
      <c r="C419" s="586"/>
      <c r="D419" s="587"/>
      <c r="E419" s="50" t="s">
        <v>35</v>
      </c>
      <c r="F419" s="170" t="s">
        <v>35</v>
      </c>
      <c r="G419" s="122">
        <f>SUM(G418:G418)</f>
        <v>0</v>
      </c>
      <c r="H419" s="163"/>
    </row>
    <row r="420" spans="2:8" ht="15" hidden="1">
      <c r="B420" s="185"/>
      <c r="C420" s="185"/>
      <c r="D420" s="185"/>
      <c r="E420" s="185"/>
      <c r="F420" s="185"/>
      <c r="G420" s="185"/>
      <c r="H420" s="186"/>
    </row>
    <row r="421" spans="2:8" ht="15" hidden="1">
      <c r="B421" s="577" t="s">
        <v>262</v>
      </c>
      <c r="C421" s="577"/>
      <c r="D421" s="577"/>
      <c r="E421" s="577"/>
      <c r="F421" s="577"/>
      <c r="G421" s="577"/>
      <c r="H421" s="166"/>
    </row>
    <row r="422" ht="15" hidden="1"/>
    <row r="423" spans="2:7" ht="62.25" hidden="1">
      <c r="B423" s="50" t="s">
        <v>33</v>
      </c>
      <c r="C423" s="533" t="s">
        <v>21</v>
      </c>
      <c r="D423" s="534"/>
      <c r="E423" s="535"/>
      <c r="F423" s="50" t="s">
        <v>22</v>
      </c>
      <c r="G423" s="50" t="s">
        <v>23</v>
      </c>
    </row>
    <row r="424" spans="2:7" ht="15" hidden="1">
      <c r="B424" s="118">
        <v>1</v>
      </c>
      <c r="C424" s="605">
        <v>2</v>
      </c>
      <c r="D424" s="606"/>
      <c r="E424" s="607"/>
      <c r="F424" s="118">
        <v>3</v>
      </c>
      <c r="G424" s="118">
        <v>4</v>
      </c>
    </row>
    <row r="425" spans="2:7" ht="15" hidden="1">
      <c r="B425" s="118">
        <v>1</v>
      </c>
      <c r="C425" s="609" t="s">
        <v>34</v>
      </c>
      <c r="D425" s="610"/>
      <c r="E425" s="611"/>
      <c r="F425" s="118" t="s">
        <v>35</v>
      </c>
      <c r="G425" s="159">
        <f>SUM(G426:G428)</f>
        <v>0</v>
      </c>
    </row>
    <row r="426" spans="2:7" ht="15" hidden="1">
      <c r="B426" s="118" t="s">
        <v>24</v>
      </c>
      <c r="C426" s="609" t="s">
        <v>36</v>
      </c>
      <c r="D426" s="610"/>
      <c r="E426" s="611"/>
      <c r="F426" s="159">
        <f>H410</f>
        <v>0</v>
      </c>
      <c r="G426" s="159">
        <f>F426*22%</f>
        <v>0</v>
      </c>
    </row>
    <row r="427" spans="2:7" ht="15" hidden="1">
      <c r="B427" s="160" t="s">
        <v>25</v>
      </c>
      <c r="C427" s="609" t="s">
        <v>37</v>
      </c>
      <c r="D427" s="610"/>
      <c r="E427" s="611"/>
      <c r="F427" s="159"/>
      <c r="G427" s="159"/>
    </row>
    <row r="428" spans="2:7" ht="15" hidden="1">
      <c r="B428" s="118" t="s">
        <v>26</v>
      </c>
      <c r="C428" s="609" t="s">
        <v>77</v>
      </c>
      <c r="D428" s="610"/>
      <c r="E428" s="611"/>
      <c r="F428" s="159"/>
      <c r="G428" s="159"/>
    </row>
    <row r="429" spans="2:7" ht="15" hidden="1">
      <c r="B429" s="118">
        <v>2</v>
      </c>
      <c r="C429" s="609" t="s">
        <v>27</v>
      </c>
      <c r="D429" s="610"/>
      <c r="E429" s="611"/>
      <c r="F429" s="118" t="s">
        <v>35</v>
      </c>
      <c r="G429" s="159">
        <f>SUM(G430:G434)</f>
        <v>0</v>
      </c>
    </row>
    <row r="430" spans="2:7" ht="15" hidden="1">
      <c r="B430" s="118" t="s">
        <v>28</v>
      </c>
      <c r="C430" s="609" t="s">
        <v>78</v>
      </c>
      <c r="D430" s="610"/>
      <c r="E430" s="611"/>
      <c r="F430" s="159">
        <f>F426</f>
        <v>0</v>
      </c>
      <c r="G430" s="159">
        <f>F430*2.9%</f>
        <v>0</v>
      </c>
    </row>
    <row r="431" spans="2:7" ht="15" hidden="1">
      <c r="B431" s="118" t="s">
        <v>29</v>
      </c>
      <c r="C431" s="609" t="s">
        <v>79</v>
      </c>
      <c r="D431" s="610"/>
      <c r="E431" s="611"/>
      <c r="F431" s="159"/>
      <c r="G431" s="159"/>
    </row>
    <row r="432" spans="2:7" ht="15" hidden="1">
      <c r="B432" s="118" t="s">
        <v>30</v>
      </c>
      <c r="C432" s="609" t="s">
        <v>76</v>
      </c>
      <c r="D432" s="610"/>
      <c r="E432" s="611"/>
      <c r="F432" s="159">
        <f>F430</f>
        <v>0</v>
      </c>
      <c r="G432" s="159">
        <f>F432*0.2%</f>
        <v>0</v>
      </c>
    </row>
    <row r="433" spans="2:7" ht="15" hidden="1">
      <c r="B433" s="118" t="s">
        <v>31</v>
      </c>
      <c r="C433" s="609" t="s">
        <v>80</v>
      </c>
      <c r="D433" s="610"/>
      <c r="E433" s="611"/>
      <c r="F433" s="159"/>
      <c r="G433" s="159"/>
    </row>
    <row r="434" spans="2:7" ht="15" hidden="1">
      <c r="B434" s="118" t="s">
        <v>32</v>
      </c>
      <c r="C434" s="609" t="s">
        <v>80</v>
      </c>
      <c r="D434" s="610"/>
      <c r="E434" s="611"/>
      <c r="F434" s="159"/>
      <c r="G434" s="159"/>
    </row>
    <row r="435" spans="2:7" ht="15" hidden="1">
      <c r="B435" s="118" t="s">
        <v>38</v>
      </c>
      <c r="C435" s="609" t="s">
        <v>39</v>
      </c>
      <c r="D435" s="610"/>
      <c r="E435" s="611"/>
      <c r="F435" s="159">
        <f>F432</f>
        <v>0</v>
      </c>
      <c r="G435" s="159">
        <f>F435*5.1%</f>
        <v>0</v>
      </c>
    </row>
    <row r="436" spans="2:7" ht="15" hidden="1">
      <c r="B436" s="574" t="s">
        <v>72</v>
      </c>
      <c r="C436" s="575"/>
      <c r="D436" s="575"/>
      <c r="E436" s="576"/>
      <c r="F436" s="118" t="s">
        <v>35</v>
      </c>
      <c r="G436" s="161">
        <f>G425+G429+G435</f>
        <v>0</v>
      </c>
    </row>
    <row r="437" ht="15" hidden="1"/>
    <row r="438" spans="2:7" ht="15">
      <c r="B438" s="559" t="s">
        <v>263</v>
      </c>
      <c r="C438" s="559"/>
      <c r="D438" s="559"/>
      <c r="E438" s="559"/>
      <c r="F438" s="559"/>
      <c r="G438" s="559"/>
    </row>
    <row r="439" spans="2:7" ht="15">
      <c r="B439" s="608" t="s">
        <v>220</v>
      </c>
      <c r="C439" s="608"/>
      <c r="D439" s="608"/>
      <c r="E439" s="608"/>
      <c r="F439" s="608"/>
      <c r="G439" s="608"/>
    </row>
    <row r="440" spans="2:7" ht="15">
      <c r="B440" s="163"/>
      <c r="C440" s="165"/>
      <c r="D440" s="163"/>
      <c r="E440" s="163"/>
      <c r="F440" s="163"/>
      <c r="G440" s="163"/>
    </row>
    <row r="441" spans="2:7" ht="78">
      <c r="B441" s="50" t="s">
        <v>33</v>
      </c>
      <c r="C441" s="530" t="s">
        <v>40</v>
      </c>
      <c r="D441" s="530"/>
      <c r="E441" s="50" t="s">
        <v>41</v>
      </c>
      <c r="F441" s="50" t="s">
        <v>42</v>
      </c>
      <c r="G441" s="50" t="s">
        <v>43</v>
      </c>
    </row>
    <row r="442" spans="2:7" ht="15">
      <c r="B442" s="50">
        <v>1</v>
      </c>
      <c r="C442" s="530">
        <v>2</v>
      </c>
      <c r="D442" s="530"/>
      <c r="E442" s="50">
        <v>3</v>
      </c>
      <c r="F442" s="50">
        <v>4</v>
      </c>
      <c r="G442" s="50">
        <v>5</v>
      </c>
    </row>
    <row r="443" spans="2:7" ht="15">
      <c r="B443" s="50">
        <v>1</v>
      </c>
      <c r="C443" s="609" t="s">
        <v>322</v>
      </c>
      <c r="D443" s="611"/>
      <c r="E443" s="238">
        <f>G443/F443%</f>
        <v>1477272.727272727</v>
      </c>
      <c r="F443" s="50">
        <v>2.2</v>
      </c>
      <c r="G443" s="123">
        <v>32500</v>
      </c>
    </row>
    <row r="444" spans="1:8" ht="15">
      <c r="A444" s="166"/>
      <c r="B444" s="585" t="s">
        <v>438</v>
      </c>
      <c r="C444" s="586"/>
      <c r="D444" s="586"/>
      <c r="E444" s="586"/>
      <c r="F444" s="587"/>
      <c r="G444" s="167">
        <f>SUM(G443:G443)</f>
        <v>32500</v>
      </c>
      <c r="H444" s="166"/>
    </row>
    <row r="445" spans="2:8" ht="15">
      <c r="B445" s="559" t="s">
        <v>264</v>
      </c>
      <c r="C445" s="559"/>
      <c r="D445" s="559"/>
      <c r="E445" s="559"/>
      <c r="F445" s="559"/>
      <c r="G445" s="559"/>
      <c r="H445" s="168"/>
    </row>
    <row r="446" spans="2:8" ht="15">
      <c r="B446" s="608" t="s">
        <v>572</v>
      </c>
      <c r="C446" s="608"/>
      <c r="D446" s="608"/>
      <c r="E446" s="608"/>
      <c r="F446" s="608"/>
      <c r="G446" s="608"/>
      <c r="H446" s="168"/>
    </row>
    <row r="447" spans="1:8" ht="15">
      <c r="A447" s="147"/>
      <c r="B447" s="559" t="s">
        <v>265</v>
      </c>
      <c r="C447" s="559"/>
      <c r="D447" s="559"/>
      <c r="E447" s="559"/>
      <c r="F447" s="559"/>
      <c r="G447" s="559"/>
      <c r="H447" s="163"/>
    </row>
    <row r="448" spans="1:8" ht="30.75">
      <c r="A448" s="147"/>
      <c r="B448" s="50" t="s">
        <v>33</v>
      </c>
      <c r="C448" s="50" t="s">
        <v>40</v>
      </c>
      <c r="D448" s="50" t="s">
        <v>44</v>
      </c>
      <c r="E448" s="50" t="s">
        <v>45</v>
      </c>
      <c r="F448" s="50" t="s">
        <v>46</v>
      </c>
      <c r="G448" s="50" t="s">
        <v>47</v>
      </c>
      <c r="H448" s="163"/>
    </row>
    <row r="449" spans="1:8" ht="15">
      <c r="A449" s="147"/>
      <c r="B449" s="50">
        <v>1</v>
      </c>
      <c r="C449" s="36" t="s">
        <v>2</v>
      </c>
      <c r="D449" s="50">
        <v>1</v>
      </c>
      <c r="E449" s="50">
        <v>12</v>
      </c>
      <c r="F449" s="170">
        <f>G449/E449</f>
        <v>83.33333333333333</v>
      </c>
      <c r="G449" s="238">
        <v>1000</v>
      </c>
      <c r="H449" s="163"/>
    </row>
    <row r="450" spans="1:8" ht="15">
      <c r="A450" s="147"/>
      <c r="B450" s="585" t="s">
        <v>70</v>
      </c>
      <c r="C450" s="586"/>
      <c r="D450" s="586"/>
      <c r="E450" s="586"/>
      <c r="F450" s="587"/>
      <c r="G450" s="122">
        <f>SUM(G449:G449)</f>
        <v>1000</v>
      </c>
      <c r="H450" s="163"/>
    </row>
    <row r="451" spans="1:8" ht="15" hidden="1">
      <c r="A451" s="172"/>
      <c r="B451" s="582" t="s">
        <v>268</v>
      </c>
      <c r="C451" s="582"/>
      <c r="D451" s="582"/>
      <c r="E451" s="582"/>
      <c r="F451" s="582"/>
      <c r="G451" s="582"/>
      <c r="H451" s="22"/>
    </row>
    <row r="452" spans="1:8" ht="15" hidden="1">
      <c r="A452" s="172"/>
      <c r="B452" s="163"/>
      <c r="C452" s="163"/>
      <c r="D452" s="164"/>
      <c r="E452" s="163"/>
      <c r="F452" s="163"/>
      <c r="G452" s="163"/>
      <c r="H452" s="22"/>
    </row>
    <row r="453" spans="1:8" ht="30.75" hidden="1">
      <c r="A453" s="172"/>
      <c r="B453" s="50" t="s">
        <v>33</v>
      </c>
      <c r="C453" s="50" t="s">
        <v>40</v>
      </c>
      <c r="D453" s="50" t="s">
        <v>54</v>
      </c>
      <c r="E453" s="27" t="s">
        <v>285</v>
      </c>
      <c r="F453" s="50" t="s">
        <v>47</v>
      </c>
      <c r="G453" s="8"/>
      <c r="H453" s="22"/>
    </row>
    <row r="454" spans="1:8" ht="15" hidden="1">
      <c r="A454" s="172"/>
      <c r="B454" s="118">
        <v>1</v>
      </c>
      <c r="C454" s="118">
        <v>2</v>
      </c>
      <c r="D454" s="118">
        <v>3</v>
      </c>
      <c r="E454" s="158">
        <v>4</v>
      </c>
      <c r="F454" s="50">
        <v>5</v>
      </c>
      <c r="G454" s="8"/>
      <c r="H454" s="22"/>
    </row>
    <row r="455" spans="1:8" ht="15" hidden="1">
      <c r="A455" s="172"/>
      <c r="B455" s="118"/>
      <c r="C455" s="50"/>
      <c r="D455" s="118"/>
      <c r="E455" s="158"/>
      <c r="F455" s="187"/>
      <c r="G455" s="8"/>
      <c r="H455" s="22"/>
    </row>
    <row r="456" spans="1:8" ht="15" hidden="1">
      <c r="A456" s="172"/>
      <c r="B456" s="118"/>
      <c r="C456" s="50"/>
      <c r="D456" s="118"/>
      <c r="E456" s="158"/>
      <c r="F456" s="187"/>
      <c r="G456" s="8"/>
      <c r="H456" s="22"/>
    </row>
    <row r="457" spans="1:8" ht="15" hidden="1">
      <c r="A457" s="147"/>
      <c r="B457" s="574" t="s">
        <v>227</v>
      </c>
      <c r="C457" s="575"/>
      <c r="D457" s="575"/>
      <c r="E457" s="576"/>
      <c r="F457" s="122">
        <f>SUM(F455:F456)</f>
        <v>0</v>
      </c>
      <c r="G457" s="9"/>
      <c r="H457" s="163"/>
    </row>
    <row r="458" spans="1:8" ht="15" hidden="1">
      <c r="A458" s="147"/>
      <c r="B458" s="176"/>
      <c r="C458" s="176"/>
      <c r="D458" s="176"/>
      <c r="E458" s="176"/>
      <c r="F458" s="178"/>
      <c r="G458" s="9"/>
      <c r="H458" s="163"/>
    </row>
    <row r="459" spans="1:8" s="8" customFormat="1" ht="21" customHeight="1">
      <c r="A459" s="147"/>
      <c r="B459" s="621" t="s">
        <v>267</v>
      </c>
      <c r="C459" s="621"/>
      <c r="D459" s="621"/>
      <c r="E459" s="621"/>
      <c r="F459" s="621"/>
      <c r="G459" s="621"/>
      <c r="H459" s="163"/>
    </row>
    <row r="460" spans="1:8" s="8" customFormat="1" ht="46.5">
      <c r="A460" s="147"/>
      <c r="B460" s="50" t="s">
        <v>33</v>
      </c>
      <c r="C460" s="530" t="s">
        <v>40</v>
      </c>
      <c r="D460" s="530"/>
      <c r="E460" s="50" t="s">
        <v>84</v>
      </c>
      <c r="F460" s="50" t="s">
        <v>48</v>
      </c>
      <c r="G460" s="50" t="s">
        <v>47</v>
      </c>
      <c r="H460" s="163"/>
    </row>
    <row r="461" spans="1:8" s="8" customFormat="1" ht="18.75" customHeight="1">
      <c r="A461" s="147"/>
      <c r="B461" s="50">
        <v>1</v>
      </c>
      <c r="C461" s="567" t="s">
        <v>311</v>
      </c>
      <c r="D461" s="567"/>
      <c r="E461" s="238">
        <f>G461/F461</f>
        <v>26238.938053097343</v>
      </c>
      <c r="F461" s="238">
        <v>6.78</v>
      </c>
      <c r="G461" s="239">
        <v>177900</v>
      </c>
      <c r="H461" s="163"/>
    </row>
    <row r="462" spans="1:8" s="9" customFormat="1" ht="15.75" customHeight="1">
      <c r="A462" s="172"/>
      <c r="B462" s="585" t="s">
        <v>711</v>
      </c>
      <c r="C462" s="586"/>
      <c r="D462" s="586"/>
      <c r="E462" s="586"/>
      <c r="F462" s="587"/>
      <c r="G462" s="362">
        <f>G461</f>
        <v>177900</v>
      </c>
      <c r="H462" s="22"/>
    </row>
    <row r="463" spans="1:8" s="8" customFormat="1" ht="15">
      <c r="A463" s="147"/>
      <c r="B463" s="50">
        <v>2</v>
      </c>
      <c r="C463" s="567" t="s">
        <v>334</v>
      </c>
      <c r="D463" s="567"/>
      <c r="E463" s="238">
        <f>G463/F463</f>
        <v>271.91581553698546</v>
      </c>
      <c r="F463" s="238">
        <v>32.31</v>
      </c>
      <c r="G463" s="239">
        <v>8785.6</v>
      </c>
      <c r="H463" s="163"/>
    </row>
    <row r="464" spans="1:8" s="9" customFormat="1" ht="15.75" customHeight="1">
      <c r="A464" s="172"/>
      <c r="B464" s="585" t="s">
        <v>710</v>
      </c>
      <c r="C464" s="586"/>
      <c r="D464" s="586"/>
      <c r="E464" s="586"/>
      <c r="F464" s="587"/>
      <c r="G464" s="362">
        <f>G463</f>
        <v>8785.6</v>
      </c>
      <c r="H464" s="22"/>
    </row>
    <row r="465" spans="1:8" s="9" customFormat="1" ht="15.75" customHeight="1">
      <c r="A465" s="172"/>
      <c r="B465" s="585" t="s">
        <v>73</v>
      </c>
      <c r="C465" s="586"/>
      <c r="D465" s="586"/>
      <c r="E465" s="586"/>
      <c r="F465" s="587"/>
      <c r="G465" s="122">
        <f>G462+G464</f>
        <v>186685.6</v>
      </c>
      <c r="H465" s="22"/>
    </row>
    <row r="466" spans="1:8" ht="15">
      <c r="A466" s="147"/>
      <c r="B466" s="582" t="s">
        <v>269</v>
      </c>
      <c r="C466" s="582"/>
      <c r="D466" s="582"/>
      <c r="E466" s="582"/>
      <c r="F466" s="582"/>
      <c r="G466" s="582"/>
      <c r="H466" s="163"/>
    </row>
    <row r="467" spans="1:8" ht="30.75">
      <c r="A467" s="147"/>
      <c r="B467" s="50" t="s">
        <v>33</v>
      </c>
      <c r="C467" s="50" t="s">
        <v>40</v>
      </c>
      <c r="D467" s="50" t="s">
        <v>50</v>
      </c>
      <c r="E467" s="27" t="s">
        <v>51</v>
      </c>
      <c r="F467" s="50" t="s">
        <v>47</v>
      </c>
      <c r="G467" s="8"/>
      <c r="H467" s="163"/>
    </row>
    <row r="468" spans="1:8" ht="30.75">
      <c r="A468" s="147"/>
      <c r="B468" s="118">
        <v>1</v>
      </c>
      <c r="C468" s="36" t="s">
        <v>312</v>
      </c>
      <c r="D468" s="118">
        <v>1</v>
      </c>
      <c r="E468" s="158">
        <v>12</v>
      </c>
      <c r="F468" s="123">
        <v>10000</v>
      </c>
      <c r="G468" s="8"/>
      <c r="H468" s="174"/>
    </row>
    <row r="469" spans="1:8" ht="15">
      <c r="A469" s="172"/>
      <c r="B469" s="574" t="s">
        <v>69</v>
      </c>
      <c r="C469" s="575"/>
      <c r="D469" s="575"/>
      <c r="E469" s="576"/>
      <c r="F469" s="122">
        <f>SUM(F468:F468)</f>
        <v>10000</v>
      </c>
      <c r="G469" s="9"/>
      <c r="H469" s="175"/>
    </row>
    <row r="470" spans="1:8" ht="15">
      <c r="A470" s="147"/>
      <c r="B470" s="559" t="s">
        <v>270</v>
      </c>
      <c r="C470" s="559"/>
      <c r="D470" s="559"/>
      <c r="E470" s="559"/>
      <c r="F470" s="559"/>
      <c r="G470" s="559"/>
      <c r="H470" s="163"/>
    </row>
    <row r="471" spans="1:8" ht="30.75">
      <c r="A471" s="147"/>
      <c r="B471" s="50" t="s">
        <v>33</v>
      </c>
      <c r="C471" s="533" t="s">
        <v>40</v>
      </c>
      <c r="D471" s="534"/>
      <c r="E471" s="535"/>
      <c r="F471" s="50" t="s">
        <v>52</v>
      </c>
      <c r="G471" s="50" t="s">
        <v>53</v>
      </c>
      <c r="H471" s="163"/>
    </row>
    <row r="472" spans="1:8" ht="15">
      <c r="A472" s="147"/>
      <c r="B472" s="118">
        <v>1</v>
      </c>
      <c r="C472" s="571" t="s">
        <v>314</v>
      </c>
      <c r="D472" s="572"/>
      <c r="E472" s="573"/>
      <c r="F472" s="173" t="s">
        <v>313</v>
      </c>
      <c r="G472" s="179">
        <v>5000</v>
      </c>
      <c r="H472" s="174"/>
    </row>
    <row r="473" spans="1:8" ht="15">
      <c r="A473" s="147"/>
      <c r="B473" s="574" t="s">
        <v>71</v>
      </c>
      <c r="C473" s="575"/>
      <c r="D473" s="575"/>
      <c r="E473" s="575"/>
      <c r="F473" s="576"/>
      <c r="G473" s="180">
        <f>SUM(G472:G472)</f>
        <v>5000</v>
      </c>
      <c r="H473" s="163"/>
    </row>
    <row r="474" spans="1:8" ht="15" hidden="1">
      <c r="A474" s="147"/>
      <c r="B474" s="561" t="s">
        <v>271</v>
      </c>
      <c r="C474" s="561"/>
      <c r="D474" s="561"/>
      <c r="E474" s="561"/>
      <c r="F474" s="561"/>
      <c r="G474" s="561"/>
      <c r="H474" s="163"/>
    </row>
    <row r="475" spans="1:8" ht="15" hidden="1">
      <c r="A475" s="147"/>
      <c r="B475" s="206"/>
      <c r="C475" s="206"/>
      <c r="D475" s="206"/>
      <c r="E475" s="206"/>
      <c r="F475" s="206"/>
      <c r="G475" s="206"/>
      <c r="H475" s="163"/>
    </row>
    <row r="476" spans="1:8" ht="30.75" hidden="1">
      <c r="A476" s="147"/>
      <c r="B476" s="50" t="s">
        <v>33</v>
      </c>
      <c r="C476" s="530" t="s">
        <v>40</v>
      </c>
      <c r="D476" s="530"/>
      <c r="E476" s="50" t="s">
        <v>54</v>
      </c>
      <c r="F476" s="50" t="s">
        <v>55</v>
      </c>
      <c r="G476" s="50" t="s">
        <v>47</v>
      </c>
      <c r="H476" s="163"/>
    </row>
    <row r="477" spans="1:8" ht="15" hidden="1">
      <c r="A477" s="147"/>
      <c r="B477" s="26">
        <v>1</v>
      </c>
      <c r="C477" s="615">
        <v>2</v>
      </c>
      <c r="D477" s="616"/>
      <c r="E477" s="26">
        <v>3</v>
      </c>
      <c r="F477" s="26">
        <v>4</v>
      </c>
      <c r="G477" s="50">
        <v>5</v>
      </c>
      <c r="H477" s="163"/>
    </row>
    <row r="478" spans="1:8" ht="15" hidden="1">
      <c r="A478" s="147"/>
      <c r="B478" s="26"/>
      <c r="C478" s="615"/>
      <c r="D478" s="616"/>
      <c r="E478" s="26"/>
      <c r="F478" s="26"/>
      <c r="G478" s="50"/>
      <c r="H478" s="163"/>
    </row>
    <row r="479" spans="1:8" ht="15" hidden="1">
      <c r="A479" s="147"/>
      <c r="B479" s="26"/>
      <c r="C479" s="569"/>
      <c r="D479" s="569"/>
      <c r="E479" s="173"/>
      <c r="F479" s="184"/>
      <c r="G479" s="184"/>
      <c r="H479" s="174"/>
    </row>
    <row r="480" spans="1:8" ht="15" hidden="1">
      <c r="A480" s="147"/>
      <c r="B480" s="574" t="s">
        <v>60</v>
      </c>
      <c r="C480" s="575"/>
      <c r="D480" s="575"/>
      <c r="E480" s="575"/>
      <c r="F480" s="576"/>
      <c r="G480" s="161">
        <f>SUM(G479)</f>
        <v>0</v>
      </c>
      <c r="H480" s="174"/>
    </row>
    <row r="481" spans="1:8" ht="15" hidden="1">
      <c r="A481" s="147"/>
      <c r="B481" s="181"/>
      <c r="C481" s="182"/>
      <c r="D481" s="182"/>
      <c r="E481" s="182"/>
      <c r="F481" s="181"/>
      <c r="G481" s="183"/>
      <c r="H481" s="174"/>
    </row>
    <row r="482" spans="1:8" ht="15" hidden="1">
      <c r="A482" s="147"/>
      <c r="B482" s="562" t="s">
        <v>272</v>
      </c>
      <c r="C482" s="562"/>
      <c r="D482" s="562"/>
      <c r="E482" s="562"/>
      <c r="F482" s="562"/>
      <c r="G482" s="562"/>
      <c r="H482" s="174"/>
    </row>
    <row r="483" spans="1:8" ht="15" hidden="1">
      <c r="A483" s="147"/>
      <c r="B483" s="181"/>
      <c r="C483" s="182"/>
      <c r="D483" s="182"/>
      <c r="E483" s="182"/>
      <c r="F483" s="181"/>
      <c r="G483" s="183"/>
      <c r="H483" s="174"/>
    </row>
    <row r="484" spans="1:8" ht="30.75" hidden="1">
      <c r="A484" s="147"/>
      <c r="B484" s="50" t="s">
        <v>33</v>
      </c>
      <c r="C484" s="533" t="s">
        <v>40</v>
      </c>
      <c r="D484" s="534"/>
      <c r="E484" s="535"/>
      <c r="F484" s="50" t="s">
        <v>52</v>
      </c>
      <c r="G484" s="50" t="s">
        <v>53</v>
      </c>
      <c r="H484" s="174"/>
    </row>
    <row r="485" spans="1:8" ht="15" hidden="1">
      <c r="A485" s="147"/>
      <c r="B485" s="118"/>
      <c r="C485" s="571"/>
      <c r="D485" s="617"/>
      <c r="E485" s="618"/>
      <c r="F485" s="173"/>
      <c r="G485" s="184"/>
      <c r="H485" s="174"/>
    </row>
    <row r="486" spans="1:8" ht="15" hidden="1">
      <c r="A486" s="147"/>
      <c r="B486" s="118"/>
      <c r="C486" s="571"/>
      <c r="D486" s="617"/>
      <c r="E486" s="618"/>
      <c r="F486" s="173"/>
      <c r="G486" s="184"/>
      <c r="H486" s="174"/>
    </row>
    <row r="487" spans="1:8" ht="15" hidden="1">
      <c r="A487" s="147"/>
      <c r="B487" s="574" t="s">
        <v>74</v>
      </c>
      <c r="C487" s="575"/>
      <c r="D487" s="575"/>
      <c r="E487" s="575"/>
      <c r="F487" s="576"/>
      <c r="G487" s="161">
        <f>SUM(G485:G486)</f>
        <v>0</v>
      </c>
      <c r="H487" s="174"/>
    </row>
    <row r="488" spans="1:8" ht="15" hidden="1">
      <c r="A488" s="147"/>
      <c r="B488" s="181"/>
      <c r="C488" s="182"/>
      <c r="D488" s="182"/>
      <c r="E488" s="182"/>
      <c r="F488" s="181"/>
      <c r="G488" s="183"/>
      <c r="H488" s="174"/>
    </row>
    <row r="489" spans="1:8" ht="0.75" customHeight="1">
      <c r="A489" s="147"/>
      <c r="B489" s="559" t="s">
        <v>273</v>
      </c>
      <c r="C489" s="559"/>
      <c r="D489" s="559"/>
      <c r="E489" s="559"/>
      <c r="F489" s="559"/>
      <c r="G489" s="559"/>
      <c r="H489" s="163"/>
    </row>
    <row r="490" spans="1:8" ht="30.75" hidden="1">
      <c r="A490" s="147"/>
      <c r="B490" s="50" t="s">
        <v>33</v>
      </c>
      <c r="C490" s="533" t="s">
        <v>40</v>
      </c>
      <c r="D490" s="535"/>
      <c r="E490" s="50" t="s">
        <v>54</v>
      </c>
      <c r="F490" s="50" t="s">
        <v>55</v>
      </c>
      <c r="G490" s="50" t="s">
        <v>47</v>
      </c>
      <c r="H490" s="163"/>
    </row>
    <row r="491" spans="1:8" ht="15" hidden="1">
      <c r="A491" s="147"/>
      <c r="B491" s="27">
        <v>1</v>
      </c>
      <c r="C491" s="571" t="s">
        <v>315</v>
      </c>
      <c r="D491" s="573"/>
      <c r="E491" s="173">
        <v>1</v>
      </c>
      <c r="F491" s="240">
        <f>G491/E491</f>
        <v>0</v>
      </c>
      <c r="G491" s="238">
        <v>0</v>
      </c>
      <c r="H491" s="163"/>
    </row>
    <row r="492" spans="1:8" ht="15" hidden="1">
      <c r="A492" s="147"/>
      <c r="B492" s="50"/>
      <c r="C492" s="569"/>
      <c r="D492" s="570"/>
      <c r="E492" s="173"/>
      <c r="F492" s="179"/>
      <c r="G492" s="123"/>
      <c r="H492" s="163"/>
    </row>
    <row r="493" spans="1:8" ht="15" hidden="1">
      <c r="A493" s="147"/>
      <c r="B493" s="574" t="s">
        <v>57</v>
      </c>
      <c r="C493" s="575"/>
      <c r="D493" s="575"/>
      <c r="E493" s="575"/>
      <c r="F493" s="576"/>
      <c r="G493" s="68">
        <f>G491+G492</f>
        <v>0</v>
      </c>
      <c r="H493" s="163"/>
    </row>
    <row r="494" spans="1:8" ht="15" hidden="1">
      <c r="A494" s="147"/>
      <c r="B494" s="582" t="s">
        <v>274</v>
      </c>
      <c r="C494" s="582"/>
      <c r="D494" s="582"/>
      <c r="E494" s="582"/>
      <c r="F494" s="582"/>
      <c r="G494" s="582"/>
      <c r="H494" s="163"/>
    </row>
    <row r="495" spans="1:8" ht="15" hidden="1">
      <c r="A495" s="147"/>
      <c r="B495" s="163"/>
      <c r="C495" s="163"/>
      <c r="D495" s="164"/>
      <c r="E495" s="163"/>
      <c r="F495" s="163"/>
      <c r="G495" s="163"/>
      <c r="H495" s="163"/>
    </row>
    <row r="496" spans="1:8" ht="30.75" hidden="1">
      <c r="A496" s="147"/>
      <c r="B496" s="50" t="s">
        <v>33</v>
      </c>
      <c r="C496" s="533" t="s">
        <v>40</v>
      </c>
      <c r="D496" s="535"/>
      <c r="E496" s="50" t="s">
        <v>54</v>
      </c>
      <c r="F496" s="50" t="s">
        <v>55</v>
      </c>
      <c r="G496" s="50" t="s">
        <v>47</v>
      </c>
      <c r="H496" s="163"/>
    </row>
    <row r="497" spans="1:8" ht="15" hidden="1">
      <c r="A497" s="147"/>
      <c r="B497" s="194">
        <v>1</v>
      </c>
      <c r="C497" s="580">
        <v>2</v>
      </c>
      <c r="D497" s="581"/>
      <c r="E497" s="193">
        <v>3</v>
      </c>
      <c r="F497" s="193">
        <v>4</v>
      </c>
      <c r="G497" s="30">
        <v>5</v>
      </c>
      <c r="H497" s="163"/>
    </row>
    <row r="498" spans="1:8" ht="15" hidden="1">
      <c r="A498" s="147"/>
      <c r="B498" s="27"/>
      <c r="C498" s="619"/>
      <c r="D498" s="627"/>
      <c r="E498" s="173"/>
      <c r="F498" s="179"/>
      <c r="G498" s="123"/>
      <c r="H498" s="163"/>
    </row>
    <row r="499" spans="1:8" ht="15" hidden="1">
      <c r="A499" s="147"/>
      <c r="B499" s="50"/>
      <c r="C499" s="569"/>
      <c r="D499" s="570"/>
      <c r="E499" s="173"/>
      <c r="F499" s="179"/>
      <c r="G499" s="123"/>
      <c r="H499" s="163"/>
    </row>
    <row r="500" spans="1:8" ht="15" hidden="1">
      <c r="A500" s="147"/>
      <c r="B500" s="574" t="s">
        <v>228</v>
      </c>
      <c r="C500" s="575"/>
      <c r="D500" s="575"/>
      <c r="E500" s="575"/>
      <c r="F500" s="576"/>
      <c r="G500" s="68">
        <v>0</v>
      </c>
      <c r="H500" s="163"/>
    </row>
    <row r="501" ht="15" hidden="1"/>
    <row r="502" spans="1:8" ht="15" hidden="1">
      <c r="A502" s="147"/>
      <c r="B502" s="559" t="s">
        <v>275</v>
      </c>
      <c r="C502" s="559"/>
      <c r="D502" s="559"/>
      <c r="E502" s="559"/>
      <c r="F502" s="559"/>
      <c r="G502" s="559"/>
      <c r="H502" s="163"/>
    </row>
    <row r="503" spans="1:8" ht="15" hidden="1">
      <c r="A503" s="147"/>
      <c r="B503" s="163"/>
      <c r="C503" s="163"/>
      <c r="D503" s="164"/>
      <c r="E503" s="163"/>
      <c r="F503" s="163"/>
      <c r="G503" s="163"/>
      <c r="H503" s="163"/>
    </row>
    <row r="504" spans="1:8" ht="30.75" hidden="1">
      <c r="A504" s="147"/>
      <c r="B504" s="50" t="s">
        <v>33</v>
      </c>
      <c r="C504" s="533" t="s">
        <v>40</v>
      </c>
      <c r="D504" s="535"/>
      <c r="E504" s="50" t="s">
        <v>54</v>
      </c>
      <c r="F504" s="50" t="s">
        <v>55</v>
      </c>
      <c r="G504" s="50" t="s">
        <v>47</v>
      </c>
      <c r="H504" s="163"/>
    </row>
    <row r="505" spans="1:8" ht="15" hidden="1">
      <c r="A505" s="147"/>
      <c r="B505" s="194">
        <v>1</v>
      </c>
      <c r="C505" s="580">
        <v>2</v>
      </c>
      <c r="D505" s="581"/>
      <c r="E505" s="193">
        <v>3</v>
      </c>
      <c r="F505" s="193">
        <v>4</v>
      </c>
      <c r="G505" s="30">
        <v>5</v>
      </c>
      <c r="H505" s="163"/>
    </row>
    <row r="506" spans="1:8" ht="15" hidden="1">
      <c r="A506" s="147"/>
      <c r="B506" s="27"/>
      <c r="C506" s="619"/>
      <c r="D506" s="627"/>
      <c r="E506" s="173"/>
      <c r="F506" s="179"/>
      <c r="G506" s="123"/>
      <c r="H506" s="163"/>
    </row>
    <row r="507" spans="1:8" ht="15" hidden="1">
      <c r="A507" s="147"/>
      <c r="B507" s="50"/>
      <c r="C507" s="569"/>
      <c r="D507" s="570"/>
      <c r="E507" s="173"/>
      <c r="F507" s="179"/>
      <c r="G507" s="123"/>
      <c r="H507" s="163"/>
    </row>
    <row r="508" spans="1:8" ht="15" hidden="1">
      <c r="A508" s="147"/>
      <c r="B508" s="574" t="s">
        <v>229</v>
      </c>
      <c r="C508" s="575"/>
      <c r="D508" s="575"/>
      <c r="E508" s="575"/>
      <c r="F508" s="576"/>
      <c r="G508" s="68">
        <v>0</v>
      </c>
      <c r="H508" s="163"/>
    </row>
    <row r="509" ht="15" hidden="1"/>
    <row r="510" spans="1:8" ht="15">
      <c r="A510" s="147"/>
      <c r="B510" s="559" t="s">
        <v>276</v>
      </c>
      <c r="C510" s="559"/>
      <c r="D510" s="559"/>
      <c r="E510" s="559"/>
      <c r="F510" s="559"/>
      <c r="G510" s="559"/>
      <c r="H510" s="163"/>
    </row>
    <row r="511" spans="1:8" ht="30.75">
      <c r="A511" s="147"/>
      <c r="B511" s="50" t="s">
        <v>33</v>
      </c>
      <c r="C511" s="533" t="s">
        <v>40</v>
      </c>
      <c r="D511" s="535"/>
      <c r="E511" s="50" t="s">
        <v>54</v>
      </c>
      <c r="F511" s="50" t="s">
        <v>55</v>
      </c>
      <c r="G511" s="50" t="s">
        <v>47</v>
      </c>
      <c r="H511" s="163"/>
    </row>
    <row r="512" spans="1:8" ht="15">
      <c r="A512" s="147"/>
      <c r="B512" s="27">
        <v>1</v>
      </c>
      <c r="C512" s="571" t="s">
        <v>406</v>
      </c>
      <c r="D512" s="573"/>
      <c r="E512" s="173">
        <v>2</v>
      </c>
      <c r="F512" s="179">
        <f>G512/E512</f>
        <v>277.5</v>
      </c>
      <c r="G512" s="123">
        <v>555</v>
      </c>
      <c r="H512" s="163"/>
    </row>
    <row r="513" spans="1:8" ht="15" hidden="1">
      <c r="A513" s="147"/>
      <c r="B513" s="50"/>
      <c r="C513" s="569"/>
      <c r="D513" s="570"/>
      <c r="E513" s="173"/>
      <c r="F513" s="179"/>
      <c r="G513" s="123"/>
      <c r="H513" s="163"/>
    </row>
    <row r="514" spans="1:8" ht="15">
      <c r="A514" s="147"/>
      <c r="B514" s="574" t="s">
        <v>230</v>
      </c>
      <c r="C514" s="575"/>
      <c r="D514" s="575"/>
      <c r="E514" s="575"/>
      <c r="F514" s="576"/>
      <c r="G514" s="68">
        <f>G512+G513</f>
        <v>555</v>
      </c>
      <c r="H514" s="163"/>
    </row>
    <row r="515" spans="1:8" ht="15">
      <c r="A515" s="147"/>
      <c r="B515" s="559" t="s">
        <v>277</v>
      </c>
      <c r="C515" s="559"/>
      <c r="D515" s="559"/>
      <c r="E515" s="559"/>
      <c r="F515" s="559"/>
      <c r="G515" s="559"/>
      <c r="H515" s="163"/>
    </row>
    <row r="516" spans="1:8" ht="30.75">
      <c r="A516" s="147"/>
      <c r="B516" s="50" t="s">
        <v>33</v>
      </c>
      <c r="C516" s="533" t="s">
        <v>40</v>
      </c>
      <c r="D516" s="535"/>
      <c r="E516" s="50" t="s">
        <v>54</v>
      </c>
      <c r="F516" s="50" t="s">
        <v>55</v>
      </c>
      <c r="G516" s="50" t="s">
        <v>47</v>
      </c>
      <c r="H516" s="163"/>
    </row>
    <row r="517" spans="1:8" ht="15">
      <c r="A517" s="147"/>
      <c r="B517" s="194" t="s">
        <v>316</v>
      </c>
      <c r="C517" s="557" t="s">
        <v>407</v>
      </c>
      <c r="D517" s="558"/>
      <c r="E517" s="193" t="s">
        <v>355</v>
      </c>
      <c r="F517" s="218">
        <f>G517/E517</f>
        <v>150</v>
      </c>
      <c r="G517" s="238">
        <v>15000</v>
      </c>
      <c r="H517" s="163"/>
    </row>
    <row r="518" spans="1:8" ht="15" hidden="1">
      <c r="A518" s="147"/>
      <c r="B518" s="50"/>
      <c r="C518" s="569"/>
      <c r="D518" s="570"/>
      <c r="E518" s="173"/>
      <c r="F518" s="179"/>
      <c r="G518" s="123"/>
      <c r="H518" s="163"/>
    </row>
    <row r="519" spans="1:8" ht="15">
      <c r="A519" s="147"/>
      <c r="B519" s="574" t="s">
        <v>231</v>
      </c>
      <c r="C519" s="575"/>
      <c r="D519" s="575"/>
      <c r="E519" s="575"/>
      <c r="F519" s="576"/>
      <c r="G519" s="68">
        <f>G517</f>
        <v>15000</v>
      </c>
      <c r="H519" s="163"/>
    </row>
    <row r="520" spans="1:8" ht="15">
      <c r="A520" s="147"/>
      <c r="B520" s="559" t="s">
        <v>278</v>
      </c>
      <c r="C520" s="559"/>
      <c r="D520" s="559"/>
      <c r="E520" s="559"/>
      <c r="F520" s="559"/>
      <c r="G520" s="559"/>
      <c r="H520" s="163"/>
    </row>
    <row r="521" spans="1:8" ht="30.75">
      <c r="A521" s="147"/>
      <c r="B521" s="50" t="s">
        <v>33</v>
      </c>
      <c r="C521" s="533" t="s">
        <v>40</v>
      </c>
      <c r="D521" s="535"/>
      <c r="E521" s="50" t="s">
        <v>54</v>
      </c>
      <c r="F521" s="50" t="s">
        <v>55</v>
      </c>
      <c r="G521" s="50" t="s">
        <v>47</v>
      </c>
      <c r="H521" s="163"/>
    </row>
    <row r="522" spans="1:8" ht="15">
      <c r="A522" s="147"/>
      <c r="B522" s="194" t="s">
        <v>316</v>
      </c>
      <c r="C522" s="557" t="s">
        <v>408</v>
      </c>
      <c r="D522" s="558"/>
      <c r="E522" s="193" t="s">
        <v>409</v>
      </c>
      <c r="F522" s="218">
        <f>G522/E522</f>
        <v>1188.944</v>
      </c>
      <c r="G522" s="239">
        <v>5944.72</v>
      </c>
      <c r="H522" s="163"/>
    </row>
    <row r="523" spans="1:8" ht="15" hidden="1">
      <c r="A523" s="147"/>
      <c r="B523" s="50"/>
      <c r="C523" s="569"/>
      <c r="D523" s="570"/>
      <c r="E523" s="173"/>
      <c r="F523" s="179"/>
      <c r="G523" s="123"/>
      <c r="H523" s="163"/>
    </row>
    <row r="524" spans="1:8" ht="15">
      <c r="A524" s="147"/>
      <c r="B524" s="574" t="s">
        <v>59</v>
      </c>
      <c r="C524" s="575"/>
      <c r="D524" s="575"/>
      <c r="E524" s="575"/>
      <c r="F524" s="576"/>
      <c r="G524" s="68">
        <f>G522</f>
        <v>5944.72</v>
      </c>
      <c r="H524" s="163"/>
    </row>
  </sheetData>
  <sheetProtection/>
  <mergeCells count="421">
    <mergeCell ref="B464:F464"/>
    <mergeCell ref="B462:F462"/>
    <mergeCell ref="B152:F152"/>
    <mergeCell ref="B156:F156"/>
    <mergeCell ref="B232:F232"/>
    <mergeCell ref="B234:G234"/>
    <mergeCell ref="C224:D224"/>
    <mergeCell ref="C220:D220"/>
    <mergeCell ref="C194:D194"/>
    <mergeCell ref="B206:G206"/>
    <mergeCell ref="C110:D110"/>
    <mergeCell ref="C163:D163"/>
    <mergeCell ref="C153:D153"/>
    <mergeCell ref="C201:D201"/>
    <mergeCell ref="B196:F196"/>
    <mergeCell ref="B198:G198"/>
    <mergeCell ref="B182:G182"/>
    <mergeCell ref="C184:D184"/>
    <mergeCell ref="B190:G190"/>
    <mergeCell ref="C151:D151"/>
    <mergeCell ref="B334:F334"/>
    <mergeCell ref="B332:F332"/>
    <mergeCell ref="B314:G314"/>
    <mergeCell ref="C301:E301"/>
    <mergeCell ref="C302:E302"/>
    <mergeCell ref="C221:D221"/>
    <mergeCell ref="B227:G227"/>
    <mergeCell ref="C293:E293"/>
    <mergeCell ref="C294:E294"/>
    <mergeCell ref="C295:E295"/>
    <mergeCell ref="C298:E298"/>
    <mergeCell ref="C285:D285"/>
    <mergeCell ref="C286:D286"/>
    <mergeCell ref="C287:D287"/>
    <mergeCell ref="B288:D288"/>
    <mergeCell ref="B290:G290"/>
    <mergeCell ref="C292:E292"/>
    <mergeCell ref="B316:G316"/>
    <mergeCell ref="C311:D311"/>
    <mergeCell ref="C312:D312"/>
    <mergeCell ref="C299:E299"/>
    <mergeCell ref="C300:E300"/>
    <mergeCell ref="C296:E296"/>
    <mergeCell ref="C303:E303"/>
    <mergeCell ref="C304:E304"/>
    <mergeCell ref="B315:G315"/>
    <mergeCell ref="C297:E297"/>
    <mergeCell ref="B524:F524"/>
    <mergeCell ref="C237:D237"/>
    <mergeCell ref="C239:D239"/>
    <mergeCell ref="B459:G459"/>
    <mergeCell ref="C460:D460"/>
    <mergeCell ref="B329:G329"/>
    <mergeCell ref="C330:D330"/>
    <mergeCell ref="C331:D331"/>
    <mergeCell ref="C333:D333"/>
    <mergeCell ref="B261:G261"/>
    <mergeCell ref="C461:D461"/>
    <mergeCell ref="B520:G520"/>
    <mergeCell ref="C521:D521"/>
    <mergeCell ref="C522:D522"/>
    <mergeCell ref="C523:D523"/>
    <mergeCell ref="B514:F514"/>
    <mergeCell ref="B502:G502"/>
    <mergeCell ref="C504:D504"/>
    <mergeCell ref="C505:D505"/>
    <mergeCell ref="C506:D506"/>
    <mergeCell ref="B515:G515"/>
    <mergeCell ref="C516:D516"/>
    <mergeCell ref="C517:D517"/>
    <mergeCell ref="C518:D518"/>
    <mergeCell ref="B519:F519"/>
    <mergeCell ref="B510:G510"/>
    <mergeCell ref="C511:D511"/>
    <mergeCell ref="C512:D512"/>
    <mergeCell ref="C513:D513"/>
    <mergeCell ref="C507:D507"/>
    <mergeCell ref="B508:F508"/>
    <mergeCell ref="B494:G494"/>
    <mergeCell ref="C496:D496"/>
    <mergeCell ref="C497:D497"/>
    <mergeCell ref="C498:D498"/>
    <mergeCell ref="C499:D499"/>
    <mergeCell ref="B500:F500"/>
    <mergeCell ref="B489:G489"/>
    <mergeCell ref="C490:D490"/>
    <mergeCell ref="C491:D491"/>
    <mergeCell ref="C492:D492"/>
    <mergeCell ref="B493:F493"/>
    <mergeCell ref="B480:F480"/>
    <mergeCell ref="B482:G482"/>
    <mergeCell ref="C484:E484"/>
    <mergeCell ref="C485:E485"/>
    <mergeCell ref="C486:E486"/>
    <mergeCell ref="B466:G466"/>
    <mergeCell ref="B469:E469"/>
    <mergeCell ref="C463:D463"/>
    <mergeCell ref="B487:F487"/>
    <mergeCell ref="B473:F473"/>
    <mergeCell ref="B474:G474"/>
    <mergeCell ref="C476:D476"/>
    <mergeCell ref="C477:D477"/>
    <mergeCell ref="C478:D478"/>
    <mergeCell ref="C479:D479"/>
    <mergeCell ref="B444:F444"/>
    <mergeCell ref="B445:G445"/>
    <mergeCell ref="B446:G446"/>
    <mergeCell ref="B470:G470"/>
    <mergeCell ref="C471:E471"/>
    <mergeCell ref="C472:E472"/>
    <mergeCell ref="B447:G447"/>
    <mergeCell ref="B450:F450"/>
    <mergeCell ref="B451:G451"/>
    <mergeCell ref="B457:E457"/>
    <mergeCell ref="B465:F465"/>
    <mergeCell ref="C433:E433"/>
    <mergeCell ref="C434:E434"/>
    <mergeCell ref="C435:E435"/>
    <mergeCell ref="B436:E436"/>
    <mergeCell ref="B438:G438"/>
    <mergeCell ref="B439:G439"/>
    <mergeCell ref="C441:D441"/>
    <mergeCell ref="C442:D442"/>
    <mergeCell ref="C443:D443"/>
    <mergeCell ref="C427:E427"/>
    <mergeCell ref="C428:E428"/>
    <mergeCell ref="C429:E429"/>
    <mergeCell ref="C430:E430"/>
    <mergeCell ref="C431:E431"/>
    <mergeCell ref="C432:E432"/>
    <mergeCell ref="B419:D419"/>
    <mergeCell ref="B421:G421"/>
    <mergeCell ref="C423:E423"/>
    <mergeCell ref="C424:E424"/>
    <mergeCell ref="C425:E425"/>
    <mergeCell ref="C426:E426"/>
    <mergeCell ref="B411:G411"/>
    <mergeCell ref="B413:G413"/>
    <mergeCell ref="C415:D415"/>
    <mergeCell ref="C416:D416"/>
    <mergeCell ref="C417:D417"/>
    <mergeCell ref="C418:D418"/>
    <mergeCell ref="B401:H401"/>
    <mergeCell ref="B402:H402"/>
    <mergeCell ref="B404:H404"/>
    <mergeCell ref="B405:H405"/>
    <mergeCell ref="B407:C407"/>
    <mergeCell ref="D407:E407"/>
    <mergeCell ref="F407:G407"/>
    <mergeCell ref="H407:H408"/>
    <mergeCell ref="C393:D393"/>
    <mergeCell ref="C394:D394"/>
    <mergeCell ref="B395:F395"/>
    <mergeCell ref="B396:G396"/>
    <mergeCell ref="B398:H398"/>
    <mergeCell ref="B400:H400"/>
    <mergeCell ref="B399:H399"/>
    <mergeCell ref="C388:D388"/>
    <mergeCell ref="C389:D389"/>
    <mergeCell ref="B390:F390"/>
    <mergeCell ref="B391:G391"/>
    <mergeCell ref="C392:D392"/>
    <mergeCell ref="C383:D383"/>
    <mergeCell ref="C384:D384"/>
    <mergeCell ref="B385:F385"/>
    <mergeCell ref="B386:G386"/>
    <mergeCell ref="C387:D387"/>
    <mergeCell ref="C377:D377"/>
    <mergeCell ref="C378:D378"/>
    <mergeCell ref="B379:F379"/>
    <mergeCell ref="B381:G381"/>
    <mergeCell ref="C382:D382"/>
    <mergeCell ref="C369:D369"/>
    <mergeCell ref="C370:D370"/>
    <mergeCell ref="B371:F371"/>
    <mergeCell ref="B373:G373"/>
    <mergeCell ref="C375:D375"/>
    <mergeCell ref="C376:D376"/>
    <mergeCell ref="C362:D362"/>
    <mergeCell ref="C363:D363"/>
    <mergeCell ref="B364:F364"/>
    <mergeCell ref="B365:G365"/>
    <mergeCell ref="C367:D367"/>
    <mergeCell ref="C368:D368"/>
    <mergeCell ref="C357:E357"/>
    <mergeCell ref="B358:F358"/>
    <mergeCell ref="B360:G360"/>
    <mergeCell ref="C361:D361"/>
    <mergeCell ref="C348:D348"/>
    <mergeCell ref="C349:D349"/>
    <mergeCell ref="C350:D350"/>
    <mergeCell ref="B351:F351"/>
    <mergeCell ref="B353:G353"/>
    <mergeCell ref="C355:E355"/>
    <mergeCell ref="C343:E343"/>
    <mergeCell ref="B344:F344"/>
    <mergeCell ref="B345:G345"/>
    <mergeCell ref="C347:D347"/>
    <mergeCell ref="C356:E356"/>
    <mergeCell ref="B313:D313"/>
    <mergeCell ref="B336:G336"/>
    <mergeCell ref="B339:E339"/>
    <mergeCell ref="B340:G340"/>
    <mergeCell ref="C341:E341"/>
    <mergeCell ref="C342:E342"/>
    <mergeCell ref="B335:F335"/>
    <mergeCell ref="B305:E305"/>
    <mergeCell ref="B307:G307"/>
    <mergeCell ref="B320:F320"/>
    <mergeCell ref="B321:G321"/>
    <mergeCell ref="B327:E327"/>
    <mergeCell ref="B308:G308"/>
    <mergeCell ref="C309:D309"/>
    <mergeCell ref="C310:D310"/>
    <mergeCell ref="B273:H273"/>
    <mergeCell ref="B274:H274"/>
    <mergeCell ref="B276:C276"/>
    <mergeCell ref="D276:E276"/>
    <mergeCell ref="F276:G276"/>
    <mergeCell ref="H276:H277"/>
    <mergeCell ref="B280:G280"/>
    <mergeCell ref="B282:G282"/>
    <mergeCell ref="C284:D284"/>
    <mergeCell ref="C230:D230"/>
    <mergeCell ref="C231:D231"/>
    <mergeCell ref="B268:H268"/>
    <mergeCell ref="B269:H269"/>
    <mergeCell ref="B270:H270"/>
    <mergeCell ref="B271:H271"/>
    <mergeCell ref="C262:D262"/>
    <mergeCell ref="C263:D263"/>
    <mergeCell ref="C264:D264"/>
    <mergeCell ref="B265:F265"/>
    <mergeCell ref="B15:C15"/>
    <mergeCell ref="D15:E15"/>
    <mergeCell ref="B267:H267"/>
    <mergeCell ref="C219:D219"/>
    <mergeCell ref="C240:D240"/>
    <mergeCell ref="B259:F259"/>
    <mergeCell ref="C249:D249"/>
    <mergeCell ref="F2:H4"/>
    <mergeCell ref="B217:G217"/>
    <mergeCell ref="C218:D218"/>
    <mergeCell ref="B226:F226"/>
    <mergeCell ref="C193:D193"/>
    <mergeCell ref="C185:D185"/>
    <mergeCell ref="B180:F180"/>
    <mergeCell ref="C207:D207"/>
    <mergeCell ref="C208:D208"/>
    <mergeCell ref="E117:F117"/>
    <mergeCell ref="F15:G15"/>
    <mergeCell ref="H15:H16"/>
    <mergeCell ref="C241:D241"/>
    <mergeCell ref="C200:D200"/>
    <mergeCell ref="C203:D203"/>
    <mergeCell ref="C195:D195"/>
    <mergeCell ref="C150:D150"/>
    <mergeCell ref="C238:D238"/>
    <mergeCell ref="C229:D229"/>
    <mergeCell ref="H57:H58"/>
    <mergeCell ref="C187:D187"/>
    <mergeCell ref="G1:H1"/>
    <mergeCell ref="B9:H9"/>
    <mergeCell ref="B19:G19"/>
    <mergeCell ref="B27:D27"/>
    <mergeCell ref="C102:D102"/>
    <mergeCell ref="B124:G124"/>
    <mergeCell ref="B13:H13"/>
    <mergeCell ref="B53:G53"/>
    <mergeCell ref="C43:E43"/>
    <mergeCell ref="B54:G54"/>
    <mergeCell ref="C100:D100"/>
    <mergeCell ref="C69:E69"/>
    <mergeCell ref="C70:E70"/>
    <mergeCell ref="C71:E71"/>
    <mergeCell ref="B55:H55"/>
    <mergeCell ref="B56:H56"/>
    <mergeCell ref="B57:C57"/>
    <mergeCell ref="D57:E57"/>
    <mergeCell ref="C65:E65"/>
    <mergeCell ref="B48:H48"/>
    <mergeCell ref="B49:C49"/>
    <mergeCell ref="D49:E49"/>
    <mergeCell ref="F49:G49"/>
    <mergeCell ref="H49:H50"/>
    <mergeCell ref="B46:H46"/>
    <mergeCell ref="C33:E33"/>
    <mergeCell ref="C26:D26"/>
    <mergeCell ref="C32:E32"/>
    <mergeCell ref="C38:E38"/>
    <mergeCell ref="C39:E39"/>
    <mergeCell ref="C42:E42"/>
    <mergeCell ref="C40:E40"/>
    <mergeCell ref="B29:G29"/>
    <mergeCell ref="B44:E44"/>
    <mergeCell ref="B244:F244"/>
    <mergeCell ref="E129:F129"/>
    <mergeCell ref="C34:E34"/>
    <mergeCell ref="C35:E35"/>
    <mergeCell ref="C36:E36"/>
    <mergeCell ref="B98:G98"/>
    <mergeCell ref="C41:E41"/>
    <mergeCell ref="B47:H47"/>
    <mergeCell ref="C178:D178"/>
    <mergeCell ref="B6:H6"/>
    <mergeCell ref="B7:H7"/>
    <mergeCell ref="B8:H8"/>
    <mergeCell ref="B10:H10"/>
    <mergeCell ref="B12:H12"/>
    <mergeCell ref="C31:E31"/>
    <mergeCell ref="C23:D23"/>
    <mergeCell ref="B21:G21"/>
    <mergeCell ref="C25:D25"/>
    <mergeCell ref="C24:D24"/>
    <mergeCell ref="C248:D248"/>
    <mergeCell ref="C37:E37"/>
    <mergeCell ref="C101:D101"/>
    <mergeCell ref="C247:D247"/>
    <mergeCell ref="B245:G245"/>
    <mergeCell ref="C192:D192"/>
    <mergeCell ref="B172:F172"/>
    <mergeCell ref="B146:E146"/>
    <mergeCell ref="B130:F130"/>
    <mergeCell ref="E128:F128"/>
    <mergeCell ref="C258:D258"/>
    <mergeCell ref="C250:D250"/>
    <mergeCell ref="B251:F251"/>
    <mergeCell ref="C255:D255"/>
    <mergeCell ref="C256:D256"/>
    <mergeCell ref="B253:G253"/>
    <mergeCell ref="C257:D257"/>
    <mergeCell ref="E126:F126"/>
    <mergeCell ref="B140:G140"/>
    <mergeCell ref="C72:E72"/>
    <mergeCell ref="C73:E73"/>
    <mergeCell ref="C74:E74"/>
    <mergeCell ref="C75:E75"/>
    <mergeCell ref="E118:F118"/>
    <mergeCell ref="C82:E82"/>
    <mergeCell ref="C83:E83"/>
    <mergeCell ref="C84:E84"/>
    <mergeCell ref="C66:E66"/>
    <mergeCell ref="B61:G61"/>
    <mergeCell ref="C67:E67"/>
    <mergeCell ref="C68:E68"/>
    <mergeCell ref="B62:G62"/>
    <mergeCell ref="C63:E63"/>
    <mergeCell ref="C64:E64"/>
    <mergeCell ref="F57:G57"/>
    <mergeCell ref="B76:E76"/>
    <mergeCell ref="B78:G78"/>
    <mergeCell ref="B80:G80"/>
    <mergeCell ref="B114:G114"/>
    <mergeCell ref="B115:G115"/>
    <mergeCell ref="B97:G97"/>
    <mergeCell ref="C103:D103"/>
    <mergeCell ref="C108:D108"/>
    <mergeCell ref="B112:D112"/>
    <mergeCell ref="C85:E85"/>
    <mergeCell ref="C86:E86"/>
    <mergeCell ref="B87:G87"/>
    <mergeCell ref="C109:D109"/>
    <mergeCell ref="C105:D105"/>
    <mergeCell ref="C104:D104"/>
    <mergeCell ref="B107:F107"/>
    <mergeCell ref="C106:D106"/>
    <mergeCell ref="B89:G89"/>
    <mergeCell ref="B90:H90"/>
    <mergeCell ref="C154:D154"/>
    <mergeCell ref="C155:D155"/>
    <mergeCell ref="E119:F119"/>
    <mergeCell ref="E120:F120"/>
    <mergeCell ref="B121:F121"/>
    <mergeCell ref="B113:G113"/>
    <mergeCell ref="B138:F138"/>
    <mergeCell ref="B148:G148"/>
    <mergeCell ref="C149:D149"/>
    <mergeCell ref="B132:G132"/>
    <mergeCell ref="C243:D243"/>
    <mergeCell ref="B174:G174"/>
    <mergeCell ref="C176:D176"/>
    <mergeCell ref="C177:D177"/>
    <mergeCell ref="C179:D179"/>
    <mergeCell ref="C202:D202"/>
    <mergeCell ref="B204:F204"/>
    <mergeCell ref="C235:D235"/>
    <mergeCell ref="C186:D186"/>
    <mergeCell ref="B188:F188"/>
    <mergeCell ref="C236:D236"/>
    <mergeCell ref="C222:D222"/>
    <mergeCell ref="C242:D242"/>
    <mergeCell ref="B216:F216"/>
    <mergeCell ref="C209:D209"/>
    <mergeCell ref="B210:F210"/>
    <mergeCell ref="C225:D225"/>
    <mergeCell ref="C215:D215"/>
    <mergeCell ref="C160:D160"/>
    <mergeCell ref="C161:D161"/>
    <mergeCell ref="C167:E167"/>
    <mergeCell ref="C170:E170"/>
    <mergeCell ref="C162:D162"/>
    <mergeCell ref="C171:E171"/>
    <mergeCell ref="B164:F164"/>
    <mergeCell ref="C168:E168"/>
    <mergeCell ref="B165:G165"/>
    <mergeCell ref="B111:F111"/>
    <mergeCell ref="E127:F127"/>
    <mergeCell ref="B211:G211"/>
    <mergeCell ref="C212:D212"/>
    <mergeCell ref="C213:D213"/>
    <mergeCell ref="C214:D214"/>
    <mergeCell ref="B157:F157"/>
    <mergeCell ref="B158:G158"/>
    <mergeCell ref="C159:D159"/>
    <mergeCell ref="C169:E169"/>
    <mergeCell ref="B91:H91"/>
    <mergeCell ref="B92:C92"/>
    <mergeCell ref="D92:E92"/>
    <mergeCell ref="F92:G92"/>
    <mergeCell ref="H92:H93"/>
    <mergeCell ref="B96:G96"/>
  </mergeCells>
  <printOptions/>
  <pageMargins left="0.1968503937007874" right="0.1968503937007874" top="0.1968503937007874" bottom="0.1968503937007874" header="0.31496062992125984" footer="0.31496062992125984"/>
  <pageSetup fitToHeight="0" fitToWidth="1" horizontalDpi="600" verticalDpi="600" orientation="portrait" paperSize="9" scale="81" r:id="rId1"/>
  <rowBreaks count="2" manualBreakCount="2">
    <brk id="265" max="6" man="1"/>
    <brk id="396" max="6" man="1"/>
  </rowBreaks>
</worksheet>
</file>

<file path=xl/worksheets/sheet16.xml><?xml version="1.0" encoding="utf-8"?>
<worksheet xmlns="http://schemas.openxmlformats.org/spreadsheetml/2006/main" xmlns:r="http://schemas.openxmlformats.org/officeDocument/2006/relationships">
  <sheetPr>
    <tabColor rgb="FF92D050"/>
    <pageSetUpPr fitToPage="1"/>
  </sheetPr>
  <dimension ref="B1:H214"/>
  <sheetViews>
    <sheetView view="pageBreakPreview" zoomScale="80" zoomScaleNormal="80" zoomScaleSheetLayoutView="80" zoomScalePageLayoutView="0" workbookViewId="0" topLeftCell="A1">
      <selection activeCell="B150" sqref="B150:G150"/>
    </sheetView>
  </sheetViews>
  <sheetFormatPr defaultColWidth="9.140625" defaultRowHeight="15"/>
  <cols>
    <col min="1" max="1" width="4.8515625" style="131" customWidth="1"/>
    <col min="2" max="2" width="8.28125" style="147" customWidth="1"/>
    <col min="3" max="3" width="33.8515625" style="147" customWidth="1"/>
    <col min="4" max="4" width="25.7109375" style="147" customWidth="1"/>
    <col min="5" max="5" width="22.140625" style="147" customWidth="1"/>
    <col min="6" max="6" width="14.00390625" style="147" customWidth="1"/>
    <col min="7" max="7" width="13.8515625" style="147" customWidth="1"/>
    <col min="8" max="8" width="16.140625" style="131" customWidth="1"/>
    <col min="9" max="16384" width="9.140625" style="6" customWidth="1"/>
  </cols>
  <sheetData>
    <row r="1" spans="2:8" ht="14.25" customHeight="1">
      <c r="B1" s="131"/>
      <c r="C1" s="131"/>
      <c r="D1" s="131"/>
      <c r="E1" s="131"/>
      <c r="F1" s="148"/>
      <c r="G1" s="265" t="str">
        <f>'Пр.1Титульный лист'!L15</f>
        <v>22.12.2023</v>
      </c>
      <c r="H1" s="148"/>
    </row>
    <row r="2" spans="2:8" ht="15.75" customHeight="1">
      <c r="B2" s="577" t="s">
        <v>713</v>
      </c>
      <c r="C2" s="577"/>
      <c r="D2" s="577"/>
      <c r="E2" s="577"/>
      <c r="F2" s="577"/>
      <c r="G2" s="577"/>
      <c r="H2" s="166"/>
    </row>
    <row r="3" spans="2:8" ht="15.75" customHeight="1">
      <c r="B3" s="577" t="s">
        <v>13</v>
      </c>
      <c r="C3" s="577"/>
      <c r="D3" s="577"/>
      <c r="E3" s="577"/>
      <c r="F3" s="577"/>
      <c r="G3" s="577"/>
      <c r="H3" s="166"/>
    </row>
    <row r="4" spans="2:8" ht="15.75" customHeight="1">
      <c r="B4" s="591" t="s">
        <v>323</v>
      </c>
      <c r="C4" s="591"/>
      <c r="D4" s="591"/>
      <c r="E4" s="591"/>
      <c r="F4" s="591"/>
      <c r="G4" s="591"/>
      <c r="H4" s="166"/>
    </row>
    <row r="5" spans="2:8" ht="14.25" customHeight="1">
      <c r="B5" s="150"/>
      <c r="C5" s="150"/>
      <c r="D5" s="150" t="s">
        <v>662</v>
      </c>
      <c r="E5" s="150"/>
      <c r="F5" s="150"/>
      <c r="G5" s="150"/>
      <c r="H5" s="149"/>
    </row>
    <row r="6" spans="2:8" ht="16.5" customHeight="1">
      <c r="B6" s="594" t="s">
        <v>605</v>
      </c>
      <c r="C6" s="697"/>
      <c r="D6" s="697"/>
      <c r="E6" s="697"/>
      <c r="F6" s="697"/>
      <c r="G6" s="697"/>
      <c r="H6" s="209"/>
    </row>
    <row r="7" spans="2:8" ht="14.25" customHeight="1">
      <c r="B7" s="150"/>
      <c r="C7" s="150"/>
      <c r="D7" s="150"/>
      <c r="E7" s="150"/>
      <c r="F7" s="150"/>
      <c r="G7" s="150"/>
      <c r="H7" s="150"/>
    </row>
    <row r="8" spans="2:8" ht="15.75" customHeight="1">
      <c r="B8" s="595" t="s">
        <v>308</v>
      </c>
      <c r="C8" s="595"/>
      <c r="D8" s="595"/>
      <c r="E8" s="595"/>
      <c r="F8" s="595"/>
      <c r="G8" s="595"/>
      <c r="H8" s="210"/>
    </row>
    <row r="9" spans="2:8" ht="15.75" customHeight="1">
      <c r="B9" s="696" t="s">
        <v>251</v>
      </c>
      <c r="C9" s="696"/>
      <c r="D9" s="696"/>
      <c r="E9" s="696"/>
      <c r="F9" s="696"/>
      <c r="G9" s="696"/>
      <c r="H9" s="207"/>
    </row>
    <row r="10" spans="2:8" ht="51" customHeight="1">
      <c r="B10" s="153" t="s">
        <v>33</v>
      </c>
      <c r="C10" s="153" t="s">
        <v>234</v>
      </c>
      <c r="D10" s="153" t="s">
        <v>235</v>
      </c>
      <c r="E10" s="153" t="s">
        <v>236</v>
      </c>
      <c r="F10" s="698" t="s">
        <v>237</v>
      </c>
      <c r="G10" s="699"/>
      <c r="H10" s="151"/>
    </row>
    <row r="11" spans="2:8" ht="15">
      <c r="B11" s="153">
        <v>1</v>
      </c>
      <c r="C11" s="153">
        <v>2</v>
      </c>
      <c r="D11" s="153">
        <v>3</v>
      </c>
      <c r="E11" s="153">
        <v>4</v>
      </c>
      <c r="F11" s="698">
        <v>5</v>
      </c>
      <c r="G11" s="699"/>
      <c r="H11" s="151"/>
    </row>
    <row r="12" spans="2:8" ht="15">
      <c r="B12" s="195">
        <v>1</v>
      </c>
      <c r="C12" s="195" t="s">
        <v>303</v>
      </c>
      <c r="D12" s="467">
        <f>18000/10</f>
        <v>1800</v>
      </c>
      <c r="E12" s="153" t="s">
        <v>304</v>
      </c>
      <c r="F12" s="692">
        <f>25000-10547.47+3547.47</f>
        <v>18000</v>
      </c>
      <c r="G12" s="693"/>
      <c r="H12" s="151"/>
    </row>
    <row r="13" spans="2:8" ht="15" hidden="1">
      <c r="B13" s="195"/>
      <c r="C13" s="195"/>
      <c r="D13" s="195"/>
      <c r="E13" s="195"/>
      <c r="F13" s="698"/>
      <c r="G13" s="699"/>
      <c r="H13" s="151"/>
    </row>
    <row r="14" spans="2:8" ht="15">
      <c r="B14" s="700" t="s">
        <v>18</v>
      </c>
      <c r="C14" s="701"/>
      <c r="D14" s="701"/>
      <c r="E14" s="702"/>
      <c r="F14" s="703">
        <f>F12+F13</f>
        <v>18000</v>
      </c>
      <c r="G14" s="704"/>
      <c r="H14" s="151"/>
    </row>
    <row r="15" spans="2:8" ht="15">
      <c r="B15" s="694" t="s">
        <v>309</v>
      </c>
      <c r="C15" s="695"/>
      <c r="D15" s="695"/>
      <c r="E15" s="197"/>
      <c r="F15" s="198"/>
      <c r="G15" s="198"/>
      <c r="H15" s="151"/>
    </row>
    <row r="16" spans="2:8" ht="32.25" customHeight="1">
      <c r="B16" s="696" t="s">
        <v>252</v>
      </c>
      <c r="C16" s="696"/>
      <c r="D16" s="696"/>
      <c r="E16" s="696"/>
      <c r="F16" s="696"/>
      <c r="G16" s="696"/>
      <c r="H16" s="151"/>
    </row>
    <row r="17" spans="2:8" ht="51" customHeight="1">
      <c r="B17" s="153" t="s">
        <v>33</v>
      </c>
      <c r="C17" s="153" t="s">
        <v>238</v>
      </c>
      <c r="D17" s="153" t="s">
        <v>239</v>
      </c>
      <c r="E17" s="153" t="s">
        <v>242</v>
      </c>
      <c r="F17" s="698" t="s">
        <v>237</v>
      </c>
      <c r="G17" s="699"/>
      <c r="H17" s="151"/>
    </row>
    <row r="18" spans="2:8" ht="15">
      <c r="B18" s="153">
        <v>1</v>
      </c>
      <c r="C18" s="153">
        <v>2</v>
      </c>
      <c r="D18" s="153">
        <v>3</v>
      </c>
      <c r="E18" s="153">
        <v>4</v>
      </c>
      <c r="F18" s="698">
        <v>5</v>
      </c>
      <c r="G18" s="699"/>
      <c r="H18" s="151"/>
    </row>
    <row r="19" spans="2:8" ht="15">
      <c r="B19" s="195">
        <v>1</v>
      </c>
      <c r="C19" s="195" t="s">
        <v>305</v>
      </c>
      <c r="D19" s="249">
        <f>F19/E19</f>
        <v>14632.786826347306</v>
      </c>
      <c r="E19" s="153">
        <v>8.35</v>
      </c>
      <c r="F19" s="692">
        <v>122183.77</v>
      </c>
      <c r="G19" s="693"/>
      <c r="H19" s="320"/>
    </row>
    <row r="20" spans="2:8" ht="30.75">
      <c r="B20" s="195">
        <v>2</v>
      </c>
      <c r="C20" s="195" t="s">
        <v>795</v>
      </c>
      <c r="D20" s="249">
        <f>F20/E20</f>
        <v>49.50180634893356</v>
      </c>
      <c r="E20" s="153">
        <v>2676.67</v>
      </c>
      <c r="F20" s="692">
        <v>132500</v>
      </c>
      <c r="G20" s="693"/>
      <c r="H20" s="320"/>
    </row>
    <row r="21" spans="2:8" ht="15">
      <c r="B21" s="195">
        <v>3</v>
      </c>
      <c r="C21" s="195" t="s">
        <v>332</v>
      </c>
      <c r="D21" s="249">
        <f>F21/E21</f>
        <v>1501.5015015015015</v>
      </c>
      <c r="E21" s="153">
        <v>26.64</v>
      </c>
      <c r="F21" s="692">
        <v>40000</v>
      </c>
      <c r="G21" s="693"/>
      <c r="H21" s="320"/>
    </row>
    <row r="22" spans="2:8" ht="15">
      <c r="B22" s="195">
        <v>4</v>
      </c>
      <c r="C22" s="195" t="s">
        <v>333</v>
      </c>
      <c r="D22" s="249">
        <f>F22/E22</f>
        <v>641.8626126126127</v>
      </c>
      <c r="E22" s="153">
        <v>26.64</v>
      </c>
      <c r="F22" s="692">
        <v>17099.22</v>
      </c>
      <c r="G22" s="693"/>
      <c r="H22" s="320"/>
    </row>
    <row r="23" spans="2:8" ht="15">
      <c r="B23" s="195">
        <v>5</v>
      </c>
      <c r="C23" s="195" t="s">
        <v>334</v>
      </c>
      <c r="D23" s="249">
        <f>F23/E23</f>
        <v>818.0359804130296</v>
      </c>
      <c r="E23" s="153">
        <v>46.97</v>
      </c>
      <c r="F23" s="692">
        <v>38423.15</v>
      </c>
      <c r="G23" s="693"/>
      <c r="H23" s="320"/>
    </row>
    <row r="24" spans="2:8" ht="15">
      <c r="B24" s="700" t="s">
        <v>18</v>
      </c>
      <c r="C24" s="701"/>
      <c r="D24" s="701"/>
      <c r="E24" s="702"/>
      <c r="F24" s="703">
        <f>F19+F20+F21+F22+F23</f>
        <v>350206.14</v>
      </c>
      <c r="G24" s="704"/>
      <c r="H24" s="320"/>
    </row>
    <row r="25" spans="2:8" ht="15" hidden="1">
      <c r="B25" s="151"/>
      <c r="C25" s="151"/>
      <c r="D25" s="151"/>
      <c r="E25" s="151"/>
      <c r="F25" s="151"/>
      <c r="G25" s="151"/>
      <c r="H25" s="151"/>
    </row>
    <row r="26" spans="2:8" ht="31.5" customHeight="1" hidden="1">
      <c r="B26" s="713" t="s">
        <v>253</v>
      </c>
      <c r="C26" s="713"/>
      <c r="D26" s="713"/>
      <c r="E26" s="713"/>
      <c r="F26" s="713"/>
      <c r="G26" s="713"/>
      <c r="H26" s="151"/>
    </row>
    <row r="27" spans="2:8" ht="15" hidden="1">
      <c r="B27" s="151"/>
      <c r="C27" s="151"/>
      <c r="D27" s="151"/>
      <c r="E27" s="151"/>
      <c r="F27" s="151"/>
      <c r="G27" s="151"/>
      <c r="H27" s="151"/>
    </row>
    <row r="28" spans="2:8" ht="51" customHeight="1" hidden="1">
      <c r="B28" s="153" t="s">
        <v>33</v>
      </c>
      <c r="C28" s="153" t="s">
        <v>238</v>
      </c>
      <c r="D28" s="153" t="s">
        <v>240</v>
      </c>
      <c r="E28" s="153" t="s">
        <v>241</v>
      </c>
      <c r="F28" s="698" t="s">
        <v>237</v>
      </c>
      <c r="G28" s="699"/>
      <c r="H28" s="151"/>
    </row>
    <row r="29" spans="2:8" ht="15" hidden="1">
      <c r="B29" s="153">
        <v>1</v>
      </c>
      <c r="C29" s="153">
        <v>2</v>
      </c>
      <c r="D29" s="153">
        <v>3</v>
      </c>
      <c r="E29" s="153">
        <v>4</v>
      </c>
      <c r="F29" s="698">
        <v>5</v>
      </c>
      <c r="G29" s="699"/>
      <c r="H29" s="151"/>
    </row>
    <row r="30" spans="2:8" ht="15" hidden="1">
      <c r="B30" s="195"/>
      <c r="C30" s="195"/>
      <c r="D30" s="195"/>
      <c r="E30" s="195"/>
      <c r="F30" s="698"/>
      <c r="G30" s="699"/>
      <c r="H30" s="151"/>
    </row>
    <row r="31" spans="2:8" ht="15" hidden="1">
      <c r="B31" s="195"/>
      <c r="C31" s="195"/>
      <c r="D31" s="195"/>
      <c r="E31" s="195"/>
      <c r="F31" s="698"/>
      <c r="G31" s="699"/>
      <c r="H31" s="151"/>
    </row>
    <row r="32" spans="2:8" ht="15" hidden="1">
      <c r="B32" s="700" t="s">
        <v>18</v>
      </c>
      <c r="C32" s="701"/>
      <c r="D32" s="701"/>
      <c r="E32" s="702"/>
      <c r="F32" s="707">
        <f>F30+F31</f>
        <v>0</v>
      </c>
      <c r="G32" s="708"/>
      <c r="H32" s="151"/>
    </row>
    <row r="33" spans="2:8" ht="15" hidden="1">
      <c r="B33" s="151"/>
      <c r="C33" s="151"/>
      <c r="D33" s="151"/>
      <c r="E33" s="151"/>
      <c r="F33" s="151"/>
      <c r="G33" s="151"/>
      <c r="H33" s="151"/>
    </row>
    <row r="34" spans="2:8" ht="33" customHeight="1" hidden="1">
      <c r="B34" s="696" t="s">
        <v>254</v>
      </c>
      <c r="C34" s="696"/>
      <c r="D34" s="696"/>
      <c r="E34" s="696"/>
      <c r="F34" s="696"/>
      <c r="G34" s="696"/>
      <c r="H34" s="151"/>
    </row>
    <row r="35" spans="2:8" ht="15" hidden="1">
      <c r="B35" s="151"/>
      <c r="C35" s="151"/>
      <c r="D35" s="151"/>
      <c r="E35" s="151"/>
      <c r="F35" s="151"/>
      <c r="G35" s="151"/>
      <c r="H35" s="151"/>
    </row>
    <row r="36" spans="2:8" ht="51" customHeight="1" hidden="1">
      <c r="B36" s="153" t="s">
        <v>33</v>
      </c>
      <c r="C36" s="153" t="s">
        <v>238</v>
      </c>
      <c r="D36" s="153" t="s">
        <v>243</v>
      </c>
      <c r="E36" s="153" t="s">
        <v>244</v>
      </c>
      <c r="F36" s="698" t="s">
        <v>237</v>
      </c>
      <c r="G36" s="699"/>
      <c r="H36" s="151"/>
    </row>
    <row r="37" spans="2:8" ht="15" hidden="1">
      <c r="B37" s="153">
        <v>1</v>
      </c>
      <c r="C37" s="153">
        <v>2</v>
      </c>
      <c r="D37" s="153">
        <v>3</v>
      </c>
      <c r="E37" s="153">
        <v>4</v>
      </c>
      <c r="F37" s="698">
        <v>5</v>
      </c>
      <c r="G37" s="699"/>
      <c r="H37" s="151"/>
    </row>
    <row r="38" spans="2:8" ht="15" hidden="1">
      <c r="B38" s="195"/>
      <c r="C38" s="195"/>
      <c r="D38" s="195"/>
      <c r="E38" s="195"/>
      <c r="F38" s="698"/>
      <c r="G38" s="699"/>
      <c r="H38" s="151"/>
    </row>
    <row r="39" spans="2:8" ht="15" hidden="1">
      <c r="B39" s="195"/>
      <c r="C39" s="195"/>
      <c r="D39" s="195"/>
      <c r="E39" s="195"/>
      <c r="F39" s="698"/>
      <c r="G39" s="699"/>
      <c r="H39" s="151"/>
    </row>
    <row r="40" spans="2:8" ht="15" hidden="1">
      <c r="B40" s="700" t="s">
        <v>18</v>
      </c>
      <c r="C40" s="701"/>
      <c r="D40" s="701"/>
      <c r="E40" s="702"/>
      <c r="F40" s="707">
        <f>F38+F39</f>
        <v>0</v>
      </c>
      <c r="G40" s="708"/>
      <c r="H40" s="151"/>
    </row>
    <row r="41" spans="2:8" ht="15" hidden="1">
      <c r="B41" s="197"/>
      <c r="C41" s="197"/>
      <c r="D41" s="197"/>
      <c r="E41" s="197"/>
      <c r="F41" s="198"/>
      <c r="G41" s="198"/>
      <c r="H41" s="151"/>
    </row>
    <row r="42" spans="2:7" ht="31.5" customHeight="1">
      <c r="B42" s="697" t="s">
        <v>255</v>
      </c>
      <c r="C42" s="697"/>
      <c r="D42" s="697"/>
      <c r="E42" s="697"/>
      <c r="F42" s="697"/>
      <c r="G42" s="697"/>
    </row>
    <row r="43" spans="2:8" ht="51" customHeight="1">
      <c r="B43" s="153" t="s">
        <v>33</v>
      </c>
      <c r="C43" s="153" t="s">
        <v>238</v>
      </c>
      <c r="D43" s="153" t="s">
        <v>245</v>
      </c>
      <c r="E43" s="153" t="s">
        <v>246</v>
      </c>
      <c r="F43" s="698" t="s">
        <v>237</v>
      </c>
      <c r="G43" s="699"/>
      <c r="H43" s="151"/>
    </row>
    <row r="44" spans="2:8" ht="15">
      <c r="B44" s="153">
        <v>1</v>
      </c>
      <c r="C44" s="153">
        <v>2</v>
      </c>
      <c r="D44" s="153">
        <v>3</v>
      </c>
      <c r="E44" s="153">
        <v>4</v>
      </c>
      <c r="F44" s="698">
        <v>5</v>
      </c>
      <c r="G44" s="699"/>
      <c r="H44" s="151"/>
    </row>
    <row r="45" spans="2:8" ht="46.5">
      <c r="B45" s="195">
        <v>1</v>
      </c>
      <c r="C45" s="195" t="s">
        <v>678</v>
      </c>
      <c r="D45" s="444">
        <v>173</v>
      </c>
      <c r="E45" s="359">
        <f>F45/D45</f>
        <v>158.95953757225433</v>
      </c>
      <c r="F45" s="705">
        <f>660000+56330-646784-42046</f>
        <v>27500</v>
      </c>
      <c r="G45" s="706"/>
      <c r="H45" s="151"/>
    </row>
    <row r="46" spans="2:8" ht="15" hidden="1">
      <c r="B46" s="195"/>
      <c r="C46" s="195"/>
      <c r="D46" s="195"/>
      <c r="E46" s="195"/>
      <c r="F46" s="698"/>
      <c r="G46" s="699"/>
      <c r="H46" s="151"/>
    </row>
    <row r="47" spans="2:8" ht="15">
      <c r="B47" s="700" t="s">
        <v>18</v>
      </c>
      <c r="C47" s="701"/>
      <c r="D47" s="701"/>
      <c r="E47" s="702"/>
      <c r="F47" s="703">
        <f>F45</f>
        <v>27500</v>
      </c>
      <c r="G47" s="704"/>
      <c r="H47" s="151"/>
    </row>
    <row r="48" spans="2:7" ht="0.75" customHeight="1">
      <c r="B48" s="711" t="s">
        <v>310</v>
      </c>
      <c r="C48" s="712"/>
      <c r="D48" s="712"/>
      <c r="E48" s="196"/>
      <c r="F48" s="196"/>
      <c r="G48" s="196"/>
    </row>
    <row r="49" spans="2:7" ht="15" hidden="1">
      <c r="B49" s="697" t="s">
        <v>257</v>
      </c>
      <c r="C49" s="697"/>
      <c r="D49" s="697"/>
      <c r="E49" s="697"/>
      <c r="F49" s="697"/>
      <c r="G49" s="697"/>
    </row>
    <row r="50" ht="15" hidden="1"/>
    <row r="51" spans="2:7" ht="62.25" hidden="1">
      <c r="B51" s="153" t="s">
        <v>33</v>
      </c>
      <c r="C51" s="153" t="s">
        <v>238</v>
      </c>
      <c r="D51" s="153" t="s">
        <v>249</v>
      </c>
      <c r="E51" s="153" t="s">
        <v>250</v>
      </c>
      <c r="F51" s="698" t="s">
        <v>237</v>
      </c>
      <c r="G51" s="699"/>
    </row>
    <row r="52" spans="2:7" ht="15" hidden="1">
      <c r="B52" s="153">
        <v>1</v>
      </c>
      <c r="C52" s="153">
        <v>2</v>
      </c>
      <c r="D52" s="153">
        <v>3</v>
      </c>
      <c r="E52" s="153">
        <v>4</v>
      </c>
      <c r="F52" s="698">
        <v>5</v>
      </c>
      <c r="G52" s="699"/>
    </row>
    <row r="53" spans="2:7" ht="15" hidden="1">
      <c r="B53" s="195">
        <v>1</v>
      </c>
      <c r="C53" s="195" t="s">
        <v>307</v>
      </c>
      <c r="D53" s="360">
        <v>1250</v>
      </c>
      <c r="E53" s="153">
        <v>8</v>
      </c>
      <c r="F53" s="692">
        <f>10000-8800-1200</f>
        <v>0</v>
      </c>
      <c r="G53" s="693"/>
    </row>
    <row r="54" spans="2:7" ht="15" hidden="1">
      <c r="B54" s="195"/>
      <c r="C54" s="195"/>
      <c r="D54" s="195"/>
      <c r="E54" s="195"/>
      <c r="F54" s="698"/>
      <c r="G54" s="699"/>
    </row>
    <row r="55" spans="2:7" ht="15" hidden="1">
      <c r="B55" s="700" t="s">
        <v>18</v>
      </c>
      <c r="C55" s="701"/>
      <c r="D55" s="701"/>
      <c r="E55" s="702"/>
      <c r="F55" s="703">
        <f>F53+F54</f>
        <v>0</v>
      </c>
      <c r="G55" s="704"/>
    </row>
    <row r="56" spans="2:8" ht="15" hidden="1">
      <c r="B56" s="197"/>
      <c r="C56" s="197"/>
      <c r="D56" s="197"/>
      <c r="E56" s="197"/>
      <c r="F56" s="198"/>
      <c r="G56" s="198"/>
      <c r="H56" s="151"/>
    </row>
    <row r="57" spans="2:8" ht="15" hidden="1">
      <c r="B57" s="709" t="s">
        <v>286</v>
      </c>
      <c r="C57" s="710"/>
      <c r="D57" s="710"/>
      <c r="E57" s="197"/>
      <c r="F57" s="198"/>
      <c r="G57" s="198"/>
      <c r="H57" s="151"/>
    </row>
    <row r="58" ht="15" hidden="1"/>
    <row r="59" spans="2:8" ht="15" hidden="1">
      <c r="B59" s="694" t="s">
        <v>575</v>
      </c>
      <c r="C59" s="695"/>
      <c r="D59" s="695"/>
      <c r="E59" s="197"/>
      <c r="F59" s="198"/>
      <c r="G59" s="198"/>
      <c r="H59" s="151"/>
    </row>
    <row r="60" spans="2:7" ht="30" customHeight="1" hidden="1">
      <c r="B60" s="697" t="s">
        <v>256</v>
      </c>
      <c r="C60" s="697"/>
      <c r="D60" s="697"/>
      <c r="E60" s="697"/>
      <c r="F60" s="697"/>
      <c r="G60" s="697"/>
    </row>
    <row r="61" ht="31.5" customHeight="1" hidden="1"/>
    <row r="62" spans="2:8" ht="33.75" customHeight="1" hidden="1">
      <c r="B62" s="153" t="s">
        <v>33</v>
      </c>
      <c r="C62" s="153" t="s">
        <v>238</v>
      </c>
      <c r="D62" s="698" t="s">
        <v>568</v>
      </c>
      <c r="E62" s="699"/>
      <c r="F62" s="698" t="s">
        <v>237</v>
      </c>
      <c r="G62" s="699"/>
      <c r="H62" s="151"/>
    </row>
    <row r="63" spans="2:8" ht="27.75" customHeight="1" hidden="1">
      <c r="B63" s="153">
        <v>1</v>
      </c>
      <c r="C63" s="153">
        <v>2</v>
      </c>
      <c r="D63" s="698">
        <v>3</v>
      </c>
      <c r="E63" s="699"/>
      <c r="F63" s="698">
        <v>5</v>
      </c>
      <c r="G63" s="699"/>
      <c r="H63" s="151"/>
    </row>
    <row r="64" spans="2:8" ht="29.25" customHeight="1" hidden="1">
      <c r="B64" s="195"/>
      <c r="C64" s="195" t="s">
        <v>567</v>
      </c>
      <c r="D64" s="698">
        <v>54915</v>
      </c>
      <c r="E64" s="699"/>
      <c r="F64" s="698">
        <v>54915</v>
      </c>
      <c r="G64" s="699"/>
      <c r="H64" s="151"/>
    </row>
    <row r="65" spans="2:8" ht="69" customHeight="1" hidden="1">
      <c r="B65" s="195"/>
      <c r="C65" s="195"/>
      <c r="D65" s="698"/>
      <c r="E65" s="699"/>
      <c r="F65" s="698"/>
      <c r="G65" s="699"/>
      <c r="H65" s="151"/>
    </row>
    <row r="66" spans="2:8" ht="21.75" customHeight="1" hidden="1">
      <c r="B66" s="700" t="s">
        <v>18</v>
      </c>
      <c r="C66" s="701"/>
      <c r="D66" s="701"/>
      <c r="E66" s="702"/>
      <c r="F66" s="707"/>
      <c r="G66" s="708"/>
      <c r="H66" s="151"/>
    </row>
    <row r="67" ht="6.75" customHeight="1" hidden="1"/>
    <row r="68" spans="2:7" ht="44.25" customHeight="1" hidden="1">
      <c r="B68" s="626" t="s">
        <v>248</v>
      </c>
      <c r="C68" s="626"/>
      <c r="D68" s="626"/>
      <c r="E68" s="626"/>
      <c r="F68" s="626"/>
      <c r="G68" s="626"/>
    </row>
    <row r="69" spans="2:7" ht="47.25" customHeight="1" hidden="1">
      <c r="B69" s="196"/>
      <c r="C69" s="196"/>
      <c r="D69" s="196"/>
      <c r="E69" s="196"/>
      <c r="F69" s="196"/>
      <c r="G69" s="196"/>
    </row>
    <row r="70" spans="2:7" ht="34.5" customHeight="1" hidden="1">
      <c r="B70" s="711" t="s">
        <v>310</v>
      </c>
      <c r="C70" s="712"/>
      <c r="D70" s="712"/>
      <c r="E70" s="196"/>
      <c r="F70" s="196"/>
      <c r="G70" s="196"/>
    </row>
    <row r="71" ht="27" customHeight="1" hidden="1"/>
    <row r="72" spans="2:7" ht="31.5" customHeight="1" hidden="1">
      <c r="B72" s="697" t="s">
        <v>257</v>
      </c>
      <c r="C72" s="697"/>
      <c r="D72" s="697"/>
      <c r="E72" s="697"/>
      <c r="F72" s="697"/>
      <c r="G72" s="697"/>
    </row>
    <row r="73" ht="24.75" customHeight="1" hidden="1"/>
    <row r="74" spans="2:8" ht="27.75" customHeight="1" hidden="1">
      <c r="B74" s="153" t="s">
        <v>33</v>
      </c>
      <c r="C74" s="153" t="s">
        <v>238</v>
      </c>
      <c r="D74" s="153" t="s">
        <v>249</v>
      </c>
      <c r="E74" s="153" t="s">
        <v>250</v>
      </c>
      <c r="F74" s="698" t="s">
        <v>237</v>
      </c>
      <c r="G74" s="699"/>
      <c r="H74" s="151"/>
    </row>
    <row r="75" spans="2:8" ht="47.25" customHeight="1" hidden="1">
      <c r="B75" s="153">
        <v>1</v>
      </c>
      <c r="C75" s="153">
        <v>2</v>
      </c>
      <c r="D75" s="153">
        <v>3</v>
      </c>
      <c r="E75" s="153">
        <v>4</v>
      </c>
      <c r="F75" s="698">
        <v>5</v>
      </c>
      <c r="G75" s="699"/>
      <c r="H75" s="151"/>
    </row>
    <row r="76" spans="2:8" ht="39.75" customHeight="1" hidden="1">
      <c r="B76" s="195">
        <v>1</v>
      </c>
      <c r="C76" s="195" t="s">
        <v>307</v>
      </c>
      <c r="D76" s="153">
        <v>1000</v>
      </c>
      <c r="E76" s="153">
        <v>1</v>
      </c>
      <c r="F76" s="692">
        <v>0</v>
      </c>
      <c r="G76" s="693"/>
      <c r="H76" s="151"/>
    </row>
    <row r="77" spans="2:8" ht="42" customHeight="1" hidden="1">
      <c r="B77" s="195"/>
      <c r="C77" s="195"/>
      <c r="D77" s="195"/>
      <c r="E77" s="195"/>
      <c r="F77" s="698"/>
      <c r="G77" s="699"/>
      <c r="H77" s="151"/>
    </row>
    <row r="78" spans="2:8" ht="30.75" customHeight="1" hidden="1">
      <c r="B78" s="700" t="s">
        <v>18</v>
      </c>
      <c r="C78" s="701"/>
      <c r="D78" s="701"/>
      <c r="E78" s="702"/>
      <c r="F78" s="703">
        <f>F76+F77</f>
        <v>0</v>
      </c>
      <c r="G78" s="704"/>
      <c r="H78" s="151"/>
    </row>
    <row r="79" ht="30" customHeight="1" hidden="1"/>
    <row r="80" ht="15">
      <c r="G80" s="270" t="str">
        <f>'Пр.1Титульный лист'!L15</f>
        <v>22.12.2023</v>
      </c>
    </row>
    <row r="81" spans="2:7" ht="15">
      <c r="B81" s="577" t="s">
        <v>713</v>
      </c>
      <c r="C81" s="577"/>
      <c r="D81" s="577"/>
      <c r="E81" s="577"/>
      <c r="F81" s="577"/>
      <c r="G81" s="577"/>
    </row>
    <row r="82" spans="2:7" ht="15">
      <c r="B82" s="577" t="s">
        <v>13</v>
      </c>
      <c r="C82" s="577"/>
      <c r="D82" s="577"/>
      <c r="E82" s="577"/>
      <c r="F82" s="577"/>
      <c r="G82" s="577"/>
    </row>
    <row r="83" spans="2:7" ht="15">
      <c r="B83" s="591" t="s">
        <v>323</v>
      </c>
      <c r="C83" s="591"/>
      <c r="D83" s="591"/>
      <c r="E83" s="591"/>
      <c r="F83" s="591"/>
      <c r="G83" s="591"/>
    </row>
    <row r="84" spans="2:7" ht="15">
      <c r="B84" s="150"/>
      <c r="C84" s="150"/>
      <c r="D84" s="150" t="s">
        <v>811</v>
      </c>
      <c r="E84" s="150"/>
      <c r="F84" s="150"/>
      <c r="G84" s="150"/>
    </row>
    <row r="85" spans="2:7" ht="15">
      <c r="B85" s="594" t="s">
        <v>605</v>
      </c>
      <c r="C85" s="697"/>
      <c r="D85" s="697"/>
      <c r="E85" s="697"/>
      <c r="F85" s="697"/>
      <c r="G85" s="697"/>
    </row>
    <row r="86" spans="2:7" ht="15">
      <c r="B86" s="595" t="s">
        <v>308</v>
      </c>
      <c r="C86" s="595"/>
      <c r="D86" s="595"/>
      <c r="E86" s="595"/>
      <c r="F86" s="595"/>
      <c r="G86" s="595"/>
    </row>
    <row r="87" spans="2:7" ht="15">
      <c r="B87" s="696" t="s">
        <v>251</v>
      </c>
      <c r="C87" s="696"/>
      <c r="D87" s="696"/>
      <c r="E87" s="696"/>
      <c r="F87" s="696"/>
      <c r="G87" s="696"/>
    </row>
    <row r="88" spans="2:7" ht="46.5">
      <c r="B88" s="153" t="s">
        <v>33</v>
      </c>
      <c r="C88" s="153" t="s">
        <v>234</v>
      </c>
      <c r="D88" s="153" t="s">
        <v>235</v>
      </c>
      <c r="E88" s="153" t="s">
        <v>236</v>
      </c>
      <c r="F88" s="698" t="s">
        <v>237</v>
      </c>
      <c r="G88" s="699"/>
    </row>
    <row r="89" spans="2:7" ht="15">
      <c r="B89" s="153">
        <v>1</v>
      </c>
      <c r="C89" s="153">
        <v>2</v>
      </c>
      <c r="D89" s="153">
        <v>3</v>
      </c>
      <c r="E89" s="153">
        <v>4</v>
      </c>
      <c r="F89" s="698">
        <v>5</v>
      </c>
      <c r="G89" s="699"/>
    </row>
    <row r="90" spans="2:7" ht="15">
      <c r="B90" s="195">
        <v>1</v>
      </c>
      <c r="C90" s="195" t="s">
        <v>303</v>
      </c>
      <c r="D90" s="153">
        <v>1960.27</v>
      </c>
      <c r="E90" s="153" t="s">
        <v>304</v>
      </c>
      <c r="F90" s="692">
        <v>19602.7</v>
      </c>
      <c r="G90" s="693"/>
    </row>
    <row r="91" spans="2:7" ht="15" hidden="1">
      <c r="B91" s="195"/>
      <c r="C91" s="195"/>
      <c r="D91" s="195"/>
      <c r="E91" s="195"/>
      <c r="F91" s="698"/>
      <c r="G91" s="699"/>
    </row>
    <row r="92" spans="2:7" ht="15">
      <c r="B92" s="700" t="s">
        <v>18</v>
      </c>
      <c r="C92" s="701"/>
      <c r="D92" s="701"/>
      <c r="E92" s="702"/>
      <c r="F92" s="703">
        <f>F90+F91</f>
        <v>19602.7</v>
      </c>
      <c r="G92" s="704"/>
    </row>
    <row r="93" spans="2:7" ht="15">
      <c r="B93" s="696" t="s">
        <v>252</v>
      </c>
      <c r="C93" s="696"/>
      <c r="D93" s="696"/>
      <c r="E93" s="696"/>
      <c r="F93" s="696"/>
      <c r="G93" s="696"/>
    </row>
    <row r="94" spans="2:7" ht="15">
      <c r="B94" s="151"/>
      <c r="C94" s="151"/>
      <c r="D94" s="151"/>
      <c r="E94" s="151"/>
      <c r="F94" s="151"/>
      <c r="G94" s="151"/>
    </row>
    <row r="95" spans="2:7" ht="30.75">
      <c r="B95" s="153" t="s">
        <v>33</v>
      </c>
      <c r="C95" s="153" t="s">
        <v>238</v>
      </c>
      <c r="D95" s="153" t="s">
        <v>239</v>
      </c>
      <c r="E95" s="153" t="s">
        <v>242</v>
      </c>
      <c r="F95" s="698" t="s">
        <v>237</v>
      </c>
      <c r="G95" s="699"/>
    </row>
    <row r="96" spans="2:7" ht="15">
      <c r="B96" s="153">
        <v>1</v>
      </c>
      <c r="C96" s="153">
        <v>2</v>
      </c>
      <c r="D96" s="153">
        <v>3</v>
      </c>
      <c r="E96" s="153">
        <v>4</v>
      </c>
      <c r="F96" s="698">
        <v>5</v>
      </c>
      <c r="G96" s="699"/>
    </row>
    <row r="97" spans="2:7" ht="15">
      <c r="B97" s="195">
        <v>1</v>
      </c>
      <c r="C97" s="195" t="s">
        <v>305</v>
      </c>
      <c r="D97" s="153">
        <v>30000</v>
      </c>
      <c r="E97" s="153">
        <v>5.93</v>
      </c>
      <c r="F97" s="692">
        <f>D97*E97</f>
        <v>177900</v>
      </c>
      <c r="G97" s="693"/>
    </row>
    <row r="98" spans="2:7" ht="15">
      <c r="B98" s="195">
        <v>2</v>
      </c>
      <c r="C98" s="195" t="s">
        <v>306</v>
      </c>
      <c r="D98" s="153">
        <v>380</v>
      </c>
      <c r="E98" s="153">
        <v>23.12</v>
      </c>
      <c r="F98" s="692">
        <f>D98*E98</f>
        <v>8785.6</v>
      </c>
      <c r="G98" s="693"/>
    </row>
    <row r="99" spans="2:7" ht="15">
      <c r="B99" s="700" t="s">
        <v>18</v>
      </c>
      <c r="C99" s="701"/>
      <c r="D99" s="701"/>
      <c r="E99" s="702"/>
      <c r="F99" s="703">
        <f>F97+F98</f>
        <v>186685.6</v>
      </c>
      <c r="G99" s="704"/>
    </row>
    <row r="100" spans="2:7" ht="15" hidden="1">
      <c r="B100" s="713" t="s">
        <v>253</v>
      </c>
      <c r="C100" s="713"/>
      <c r="D100" s="713"/>
      <c r="E100" s="713"/>
      <c r="F100" s="713"/>
      <c r="G100" s="713"/>
    </row>
    <row r="101" spans="2:7" ht="15" hidden="1">
      <c r="B101" s="151"/>
      <c r="C101" s="151"/>
      <c r="D101" s="151"/>
      <c r="E101" s="151"/>
      <c r="F101" s="151"/>
      <c r="G101" s="151"/>
    </row>
    <row r="102" spans="2:7" ht="30.75" hidden="1">
      <c r="B102" s="153" t="s">
        <v>33</v>
      </c>
      <c r="C102" s="153" t="s">
        <v>238</v>
      </c>
      <c r="D102" s="153" t="s">
        <v>240</v>
      </c>
      <c r="E102" s="153" t="s">
        <v>241</v>
      </c>
      <c r="F102" s="698" t="s">
        <v>237</v>
      </c>
      <c r="G102" s="699"/>
    </row>
    <row r="103" spans="2:7" ht="15" hidden="1">
      <c r="B103" s="153">
        <v>1</v>
      </c>
      <c r="C103" s="153">
        <v>2</v>
      </c>
      <c r="D103" s="153">
        <v>3</v>
      </c>
      <c r="E103" s="153">
        <v>4</v>
      </c>
      <c r="F103" s="698">
        <v>5</v>
      </c>
      <c r="G103" s="699"/>
    </row>
    <row r="104" spans="2:7" ht="15" hidden="1">
      <c r="B104" s="195"/>
      <c r="C104" s="195"/>
      <c r="D104" s="195"/>
      <c r="E104" s="195"/>
      <c r="F104" s="698"/>
      <c r="G104" s="699"/>
    </row>
    <row r="105" spans="2:7" ht="15" hidden="1">
      <c r="B105" s="195"/>
      <c r="C105" s="195"/>
      <c r="D105" s="195"/>
      <c r="E105" s="195"/>
      <c r="F105" s="698"/>
      <c r="G105" s="699"/>
    </row>
    <row r="106" spans="2:7" ht="15" hidden="1">
      <c r="B106" s="700" t="s">
        <v>18</v>
      </c>
      <c r="C106" s="701"/>
      <c r="D106" s="701"/>
      <c r="E106" s="702"/>
      <c r="F106" s="707">
        <f>F104+F105</f>
        <v>0</v>
      </c>
      <c r="G106" s="708"/>
    </row>
    <row r="107" spans="2:7" ht="15" hidden="1">
      <c r="B107" s="151"/>
      <c r="C107" s="151"/>
      <c r="D107" s="151"/>
      <c r="E107" s="151"/>
      <c r="F107" s="151"/>
      <c r="G107" s="151"/>
    </row>
    <row r="108" spans="2:7" ht="15" hidden="1">
      <c r="B108" s="696" t="s">
        <v>254</v>
      </c>
      <c r="C108" s="696"/>
      <c r="D108" s="696"/>
      <c r="E108" s="696"/>
      <c r="F108" s="696"/>
      <c r="G108" s="696"/>
    </row>
    <row r="109" spans="2:7" ht="15" hidden="1">
      <c r="B109" s="151"/>
      <c r="C109" s="151"/>
      <c r="D109" s="151"/>
      <c r="E109" s="151"/>
      <c r="F109" s="151"/>
      <c r="G109" s="151"/>
    </row>
    <row r="110" spans="2:7" ht="46.5" hidden="1">
      <c r="B110" s="153" t="s">
        <v>33</v>
      </c>
      <c r="C110" s="153" t="s">
        <v>238</v>
      </c>
      <c r="D110" s="153" t="s">
        <v>243</v>
      </c>
      <c r="E110" s="153" t="s">
        <v>244</v>
      </c>
      <c r="F110" s="698" t="s">
        <v>237</v>
      </c>
      <c r="G110" s="699"/>
    </row>
    <row r="111" spans="2:7" ht="15" hidden="1">
      <c r="B111" s="153">
        <v>1</v>
      </c>
      <c r="C111" s="153">
        <v>2</v>
      </c>
      <c r="D111" s="153">
        <v>3</v>
      </c>
      <c r="E111" s="153">
        <v>4</v>
      </c>
      <c r="F111" s="698">
        <v>5</v>
      </c>
      <c r="G111" s="699"/>
    </row>
    <row r="112" spans="2:7" ht="15" hidden="1">
      <c r="B112" s="195"/>
      <c r="C112" s="195"/>
      <c r="D112" s="195"/>
      <c r="E112" s="195"/>
      <c r="F112" s="698"/>
      <c r="G112" s="699"/>
    </row>
    <row r="113" spans="2:7" ht="15" hidden="1">
      <c r="B113" s="195"/>
      <c r="C113" s="195"/>
      <c r="D113" s="195"/>
      <c r="E113" s="195"/>
      <c r="F113" s="698"/>
      <c r="G113" s="699"/>
    </row>
    <row r="114" spans="2:7" ht="15" hidden="1">
      <c r="B114" s="700" t="s">
        <v>18</v>
      </c>
      <c r="C114" s="701"/>
      <c r="D114" s="701"/>
      <c r="E114" s="702"/>
      <c r="F114" s="707">
        <f>F112+F113</f>
        <v>0</v>
      </c>
      <c r="G114" s="708"/>
    </row>
    <row r="115" spans="2:7" ht="15" hidden="1">
      <c r="B115" s="197"/>
      <c r="C115" s="197"/>
      <c r="D115" s="197"/>
      <c r="E115" s="197"/>
      <c r="F115" s="198"/>
      <c r="G115" s="198"/>
    </row>
    <row r="116" spans="2:7" ht="15">
      <c r="B116" s="694" t="s">
        <v>309</v>
      </c>
      <c r="C116" s="695"/>
      <c r="D116" s="695"/>
      <c r="E116" s="197"/>
      <c r="F116" s="198"/>
      <c r="G116" s="198"/>
    </row>
    <row r="118" spans="2:7" ht="15">
      <c r="B118" s="697" t="s">
        <v>255</v>
      </c>
      <c r="C118" s="697"/>
      <c r="D118" s="697"/>
      <c r="E118" s="697"/>
      <c r="F118" s="697"/>
      <c r="G118" s="697"/>
    </row>
    <row r="119" spans="2:7" ht="46.5">
      <c r="B119" s="153" t="s">
        <v>33</v>
      </c>
      <c r="C119" s="153" t="s">
        <v>238</v>
      </c>
      <c r="D119" s="153" t="s">
        <v>245</v>
      </c>
      <c r="E119" s="153" t="s">
        <v>246</v>
      </c>
      <c r="F119" s="698" t="s">
        <v>237</v>
      </c>
      <c r="G119" s="699"/>
    </row>
    <row r="120" spans="2:7" ht="15">
      <c r="B120" s="153">
        <v>1</v>
      </c>
      <c r="C120" s="153">
        <v>2</v>
      </c>
      <c r="D120" s="153">
        <v>3</v>
      </c>
      <c r="E120" s="153">
        <v>4</v>
      </c>
      <c r="F120" s="698">
        <v>5</v>
      </c>
      <c r="G120" s="699"/>
    </row>
    <row r="121" spans="2:7" ht="46.5">
      <c r="B121" s="195">
        <v>1</v>
      </c>
      <c r="C121" s="195" t="s">
        <v>678</v>
      </c>
      <c r="D121" s="153">
        <v>250</v>
      </c>
      <c r="E121" s="250">
        <f>F121/D121</f>
        <v>199.74808</v>
      </c>
      <c r="F121" s="692">
        <v>49937.02</v>
      </c>
      <c r="G121" s="693"/>
    </row>
    <row r="122" spans="2:7" ht="15" hidden="1">
      <c r="B122" s="195"/>
      <c r="C122" s="195"/>
      <c r="D122" s="195"/>
      <c r="E122" s="195"/>
      <c r="F122" s="698"/>
      <c r="G122" s="699"/>
    </row>
    <row r="123" spans="2:7" ht="15">
      <c r="B123" s="700" t="s">
        <v>18</v>
      </c>
      <c r="C123" s="701"/>
      <c r="D123" s="701"/>
      <c r="E123" s="702"/>
      <c r="F123" s="703">
        <f>F121+F122</f>
        <v>49937.02</v>
      </c>
      <c r="G123" s="704"/>
    </row>
    <row r="124" spans="2:7" ht="15" hidden="1">
      <c r="B124" s="709" t="s">
        <v>286</v>
      </c>
      <c r="C124" s="710"/>
      <c r="D124" s="710"/>
      <c r="E124" s="197"/>
      <c r="F124" s="198"/>
      <c r="G124" s="198"/>
    </row>
    <row r="125" ht="15" hidden="1"/>
    <row r="126" spans="2:7" ht="15" hidden="1">
      <c r="B126" s="697" t="s">
        <v>256</v>
      </c>
      <c r="C126" s="697"/>
      <c r="D126" s="697"/>
      <c r="E126" s="697"/>
      <c r="F126" s="697"/>
      <c r="G126" s="697"/>
    </row>
    <row r="127" ht="15" hidden="1"/>
    <row r="128" spans="2:7" ht="15" hidden="1">
      <c r="B128" s="153" t="s">
        <v>33</v>
      </c>
      <c r="C128" s="153" t="s">
        <v>238</v>
      </c>
      <c r="D128" s="698" t="s">
        <v>247</v>
      </c>
      <c r="E128" s="699"/>
      <c r="F128" s="698" t="s">
        <v>237</v>
      </c>
      <c r="G128" s="699"/>
    </row>
    <row r="129" spans="2:7" ht="15" hidden="1">
      <c r="B129" s="153">
        <v>1</v>
      </c>
      <c r="C129" s="153">
        <v>2</v>
      </c>
      <c r="D129" s="698">
        <v>3</v>
      </c>
      <c r="E129" s="699"/>
      <c r="F129" s="698">
        <v>5</v>
      </c>
      <c r="G129" s="699"/>
    </row>
    <row r="130" spans="2:7" ht="15" hidden="1">
      <c r="B130" s="195"/>
      <c r="C130" s="195"/>
      <c r="D130" s="698"/>
      <c r="E130" s="699"/>
      <c r="F130" s="698"/>
      <c r="G130" s="699"/>
    </row>
    <row r="131" spans="2:7" ht="15" hidden="1">
      <c r="B131" s="195"/>
      <c r="C131" s="195"/>
      <c r="D131" s="698"/>
      <c r="E131" s="699"/>
      <c r="F131" s="698"/>
      <c r="G131" s="699"/>
    </row>
    <row r="132" spans="2:7" ht="15" hidden="1">
      <c r="B132" s="700" t="s">
        <v>18</v>
      </c>
      <c r="C132" s="701"/>
      <c r="D132" s="701"/>
      <c r="E132" s="702"/>
      <c r="F132" s="707">
        <f>F130+F131</f>
        <v>0</v>
      </c>
      <c r="G132" s="708"/>
    </row>
    <row r="133" ht="15" hidden="1"/>
    <row r="134" spans="2:7" ht="15" hidden="1">
      <c r="B134" s="626" t="s">
        <v>248</v>
      </c>
      <c r="C134" s="626"/>
      <c r="D134" s="626"/>
      <c r="E134" s="626"/>
      <c r="F134" s="626"/>
      <c r="G134" s="626"/>
    </row>
    <row r="135" spans="2:7" ht="15" hidden="1">
      <c r="B135" s="196"/>
      <c r="C135" s="196"/>
      <c r="D135" s="196"/>
      <c r="E135" s="196"/>
      <c r="F135" s="196"/>
      <c r="G135" s="196"/>
    </row>
    <row r="136" spans="2:7" ht="15">
      <c r="B136" s="711" t="s">
        <v>310</v>
      </c>
      <c r="C136" s="712"/>
      <c r="D136" s="712"/>
      <c r="E136" s="196"/>
      <c r="F136" s="196"/>
      <c r="G136" s="196"/>
    </row>
    <row r="137" spans="2:7" ht="15">
      <c r="B137" s="697" t="s">
        <v>257</v>
      </c>
      <c r="C137" s="697"/>
      <c r="D137" s="697"/>
      <c r="E137" s="697"/>
      <c r="F137" s="697"/>
      <c r="G137" s="697"/>
    </row>
    <row r="139" spans="2:7" ht="62.25">
      <c r="B139" s="153" t="s">
        <v>33</v>
      </c>
      <c r="C139" s="153" t="s">
        <v>238</v>
      </c>
      <c r="D139" s="153" t="s">
        <v>249</v>
      </c>
      <c r="E139" s="153" t="s">
        <v>250</v>
      </c>
      <c r="F139" s="698" t="s">
        <v>237</v>
      </c>
      <c r="G139" s="699"/>
    </row>
    <row r="140" spans="2:7" ht="15">
      <c r="B140" s="153">
        <v>1</v>
      </c>
      <c r="C140" s="153">
        <v>2</v>
      </c>
      <c r="D140" s="153">
        <v>3</v>
      </c>
      <c r="E140" s="153">
        <v>4</v>
      </c>
      <c r="F140" s="698">
        <v>5</v>
      </c>
      <c r="G140" s="699"/>
    </row>
    <row r="141" spans="2:7" ht="15">
      <c r="B141" s="195">
        <v>1</v>
      </c>
      <c r="C141" s="195" t="s">
        <v>307</v>
      </c>
      <c r="D141" s="153">
        <v>1000</v>
      </c>
      <c r="E141" s="153">
        <v>1</v>
      </c>
      <c r="F141" s="692">
        <v>1000</v>
      </c>
      <c r="G141" s="693"/>
    </row>
    <row r="142" spans="2:7" ht="15">
      <c r="B142" s="195"/>
      <c r="C142" s="195"/>
      <c r="D142" s="195"/>
      <c r="E142" s="195"/>
      <c r="F142" s="698"/>
      <c r="G142" s="699"/>
    </row>
    <row r="143" spans="2:7" ht="15">
      <c r="B143" s="700" t="s">
        <v>18</v>
      </c>
      <c r="C143" s="701"/>
      <c r="D143" s="701"/>
      <c r="E143" s="702"/>
      <c r="F143" s="703">
        <f>F141+F142</f>
        <v>1000</v>
      </c>
      <c r="G143" s="704"/>
    </row>
    <row r="145" ht="15">
      <c r="G145" s="270" t="str">
        <f>'Пр.1Титульный лист'!L15</f>
        <v>22.12.2023</v>
      </c>
    </row>
    <row r="146" spans="2:7" ht="15">
      <c r="B146" s="577" t="s">
        <v>713</v>
      </c>
      <c r="C146" s="577"/>
      <c r="D146" s="577"/>
      <c r="E146" s="577"/>
      <c r="F146" s="577"/>
      <c r="G146" s="577"/>
    </row>
    <row r="147" spans="2:7" ht="15">
      <c r="B147" s="577" t="s">
        <v>13</v>
      </c>
      <c r="C147" s="577"/>
      <c r="D147" s="577"/>
      <c r="E147" s="577"/>
      <c r="F147" s="577"/>
      <c r="G147" s="577"/>
    </row>
    <row r="148" spans="2:7" ht="15">
      <c r="B148" s="591" t="s">
        <v>323</v>
      </c>
      <c r="C148" s="591"/>
      <c r="D148" s="591"/>
      <c r="E148" s="591"/>
      <c r="F148" s="591"/>
      <c r="G148" s="591"/>
    </row>
    <row r="149" spans="2:7" ht="15">
      <c r="B149" s="150"/>
      <c r="C149" s="150"/>
      <c r="D149" s="150" t="s">
        <v>977</v>
      </c>
      <c r="E149" s="150"/>
      <c r="F149" s="150"/>
      <c r="G149" s="150"/>
    </row>
    <row r="150" spans="2:7" ht="15">
      <c r="B150" s="594" t="s">
        <v>605</v>
      </c>
      <c r="C150" s="697"/>
      <c r="D150" s="697"/>
      <c r="E150" s="697"/>
      <c r="F150" s="697"/>
      <c r="G150" s="697"/>
    </row>
    <row r="151" spans="2:7" ht="15">
      <c r="B151" s="150"/>
      <c r="C151" s="150"/>
      <c r="D151" s="150"/>
      <c r="E151" s="150"/>
      <c r="F151" s="150"/>
      <c r="G151" s="150"/>
    </row>
    <row r="152" spans="2:7" ht="15">
      <c r="B152" s="595" t="s">
        <v>308</v>
      </c>
      <c r="C152" s="595"/>
      <c r="D152" s="595"/>
      <c r="E152" s="595"/>
      <c r="F152" s="595"/>
      <c r="G152" s="595"/>
    </row>
    <row r="153" spans="2:7" ht="15">
      <c r="B153" s="696" t="s">
        <v>251</v>
      </c>
      <c r="C153" s="696"/>
      <c r="D153" s="696"/>
      <c r="E153" s="696"/>
      <c r="F153" s="696"/>
      <c r="G153" s="696"/>
    </row>
    <row r="154" spans="2:7" ht="46.5">
      <c r="B154" s="153" t="s">
        <v>33</v>
      </c>
      <c r="C154" s="153" t="s">
        <v>234</v>
      </c>
      <c r="D154" s="153" t="s">
        <v>235</v>
      </c>
      <c r="E154" s="153" t="s">
        <v>236</v>
      </c>
      <c r="F154" s="698" t="s">
        <v>237</v>
      </c>
      <c r="G154" s="699"/>
    </row>
    <row r="155" spans="2:7" ht="15">
      <c r="B155" s="153">
        <v>1</v>
      </c>
      <c r="C155" s="153">
        <v>2</v>
      </c>
      <c r="D155" s="153">
        <v>3</v>
      </c>
      <c r="E155" s="153">
        <v>4</v>
      </c>
      <c r="F155" s="698">
        <v>5</v>
      </c>
      <c r="G155" s="699"/>
    </row>
    <row r="156" spans="2:7" ht="15">
      <c r="B156" s="195">
        <v>1</v>
      </c>
      <c r="C156" s="195" t="s">
        <v>303</v>
      </c>
      <c r="D156" s="153">
        <v>1960.27</v>
      </c>
      <c r="E156" s="153" t="s">
        <v>304</v>
      </c>
      <c r="F156" s="692">
        <v>19602.7</v>
      </c>
      <c r="G156" s="693"/>
    </row>
    <row r="157" spans="2:7" ht="15" hidden="1">
      <c r="B157" s="195"/>
      <c r="C157" s="195"/>
      <c r="D157" s="195"/>
      <c r="E157" s="195"/>
      <c r="F157" s="698"/>
      <c r="G157" s="699"/>
    </row>
    <row r="158" spans="2:7" ht="15">
      <c r="B158" s="700" t="s">
        <v>18</v>
      </c>
      <c r="C158" s="701"/>
      <c r="D158" s="701"/>
      <c r="E158" s="702"/>
      <c r="F158" s="703">
        <f>F156+F157</f>
        <v>19602.7</v>
      </c>
      <c r="G158" s="704"/>
    </row>
    <row r="159" spans="2:7" ht="15">
      <c r="B159" s="151"/>
      <c r="C159" s="151"/>
      <c r="D159" s="151"/>
      <c r="E159" s="151"/>
      <c r="F159" s="248"/>
      <c r="G159" s="248"/>
    </row>
    <row r="160" spans="2:7" ht="15">
      <c r="B160" s="696" t="s">
        <v>252</v>
      </c>
      <c r="C160" s="696"/>
      <c r="D160" s="696"/>
      <c r="E160" s="696"/>
      <c r="F160" s="696"/>
      <c r="G160" s="696"/>
    </row>
    <row r="161" spans="2:7" ht="15">
      <c r="B161" s="151"/>
      <c r="C161" s="151"/>
      <c r="D161" s="151"/>
      <c r="E161" s="151"/>
      <c r="F161" s="151"/>
      <c r="G161" s="151"/>
    </row>
    <row r="162" spans="2:7" ht="30.75">
      <c r="B162" s="153" t="s">
        <v>33</v>
      </c>
      <c r="C162" s="153" t="s">
        <v>238</v>
      </c>
      <c r="D162" s="153" t="s">
        <v>239</v>
      </c>
      <c r="E162" s="153" t="s">
        <v>242</v>
      </c>
      <c r="F162" s="698" t="s">
        <v>237</v>
      </c>
      <c r="G162" s="699"/>
    </row>
    <row r="163" spans="2:7" ht="15">
      <c r="B163" s="153">
        <v>1</v>
      </c>
      <c r="C163" s="153">
        <v>2</v>
      </c>
      <c r="D163" s="153">
        <v>3</v>
      </c>
      <c r="E163" s="153">
        <v>4</v>
      </c>
      <c r="F163" s="698">
        <v>5</v>
      </c>
      <c r="G163" s="699"/>
    </row>
    <row r="164" spans="2:7" ht="15">
      <c r="B164" s="195">
        <v>1</v>
      </c>
      <c r="C164" s="195" t="s">
        <v>305</v>
      </c>
      <c r="D164" s="153">
        <v>30000</v>
      </c>
      <c r="E164" s="153">
        <v>5.93</v>
      </c>
      <c r="F164" s="692">
        <f>D164*E164</f>
        <v>177900</v>
      </c>
      <c r="G164" s="693"/>
    </row>
    <row r="165" spans="2:7" ht="15">
      <c r="B165" s="195">
        <v>2</v>
      </c>
      <c r="C165" s="195" t="s">
        <v>306</v>
      </c>
      <c r="D165" s="153">
        <v>380</v>
      </c>
      <c r="E165" s="153">
        <v>23.12</v>
      </c>
      <c r="F165" s="692">
        <f>D165*E165</f>
        <v>8785.6</v>
      </c>
      <c r="G165" s="693"/>
    </row>
    <row r="166" spans="2:7" ht="15">
      <c r="B166" s="700" t="s">
        <v>18</v>
      </c>
      <c r="C166" s="701"/>
      <c r="D166" s="701"/>
      <c r="E166" s="702"/>
      <c r="F166" s="703">
        <f>F164+F165</f>
        <v>186685.6</v>
      </c>
      <c r="G166" s="704"/>
    </row>
    <row r="167" spans="2:7" ht="15">
      <c r="B167" s="151"/>
      <c r="C167" s="151"/>
      <c r="D167" s="151"/>
      <c r="E167" s="151"/>
      <c r="F167" s="151"/>
      <c r="G167" s="151"/>
    </row>
    <row r="168" spans="2:7" ht="15" hidden="1">
      <c r="B168" s="713" t="s">
        <v>253</v>
      </c>
      <c r="C168" s="713"/>
      <c r="D168" s="713"/>
      <c r="E168" s="713"/>
      <c r="F168" s="713"/>
      <c r="G168" s="713"/>
    </row>
    <row r="169" spans="2:7" ht="15" hidden="1">
      <c r="B169" s="151"/>
      <c r="C169" s="151"/>
      <c r="D169" s="151"/>
      <c r="E169" s="151"/>
      <c r="F169" s="151"/>
      <c r="G169" s="151"/>
    </row>
    <row r="170" spans="2:7" ht="30.75" hidden="1">
      <c r="B170" s="153" t="s">
        <v>33</v>
      </c>
      <c r="C170" s="153" t="s">
        <v>238</v>
      </c>
      <c r="D170" s="153" t="s">
        <v>240</v>
      </c>
      <c r="E170" s="153" t="s">
        <v>241</v>
      </c>
      <c r="F170" s="698" t="s">
        <v>237</v>
      </c>
      <c r="G170" s="699"/>
    </row>
    <row r="171" spans="2:7" ht="15" hidden="1">
      <c r="B171" s="153">
        <v>1</v>
      </c>
      <c r="C171" s="153">
        <v>2</v>
      </c>
      <c r="D171" s="153">
        <v>3</v>
      </c>
      <c r="E171" s="153">
        <v>4</v>
      </c>
      <c r="F171" s="698">
        <v>5</v>
      </c>
      <c r="G171" s="699"/>
    </row>
    <row r="172" spans="2:7" ht="15" hidden="1">
      <c r="B172" s="195"/>
      <c r="C172" s="195"/>
      <c r="D172" s="195"/>
      <c r="E172" s="195"/>
      <c r="F172" s="698"/>
      <c r="G172" s="699"/>
    </row>
    <row r="173" spans="2:7" ht="15" hidden="1">
      <c r="B173" s="195"/>
      <c r="C173" s="195"/>
      <c r="D173" s="195"/>
      <c r="E173" s="195"/>
      <c r="F173" s="698"/>
      <c r="G173" s="699"/>
    </row>
    <row r="174" spans="2:7" ht="15" hidden="1">
      <c r="B174" s="700" t="s">
        <v>18</v>
      </c>
      <c r="C174" s="701"/>
      <c r="D174" s="701"/>
      <c r="E174" s="702"/>
      <c r="F174" s="707">
        <f>F172+F173</f>
        <v>0</v>
      </c>
      <c r="G174" s="708"/>
    </row>
    <row r="175" spans="2:7" ht="15" hidden="1">
      <c r="B175" s="151"/>
      <c r="C175" s="151"/>
      <c r="D175" s="151"/>
      <c r="E175" s="151"/>
      <c r="F175" s="151"/>
      <c r="G175" s="151"/>
    </row>
    <row r="176" spans="2:7" ht="15" hidden="1">
      <c r="B176" s="696" t="s">
        <v>254</v>
      </c>
      <c r="C176" s="696"/>
      <c r="D176" s="696"/>
      <c r="E176" s="696"/>
      <c r="F176" s="696"/>
      <c r="G176" s="696"/>
    </row>
    <row r="177" spans="2:7" ht="15" hidden="1">
      <c r="B177" s="151"/>
      <c r="C177" s="151"/>
      <c r="D177" s="151"/>
      <c r="E177" s="151"/>
      <c r="F177" s="151"/>
      <c r="G177" s="151"/>
    </row>
    <row r="178" spans="2:7" ht="46.5" hidden="1">
      <c r="B178" s="153" t="s">
        <v>33</v>
      </c>
      <c r="C178" s="153" t="s">
        <v>238</v>
      </c>
      <c r="D178" s="153" t="s">
        <v>243</v>
      </c>
      <c r="E178" s="153" t="s">
        <v>244</v>
      </c>
      <c r="F178" s="698" t="s">
        <v>237</v>
      </c>
      <c r="G178" s="699"/>
    </row>
    <row r="179" spans="2:7" ht="15" hidden="1">
      <c r="B179" s="153">
        <v>1</v>
      </c>
      <c r="C179" s="153">
        <v>2</v>
      </c>
      <c r="D179" s="153">
        <v>3</v>
      </c>
      <c r="E179" s="153">
        <v>4</v>
      </c>
      <c r="F179" s="698">
        <v>5</v>
      </c>
      <c r="G179" s="699"/>
    </row>
    <row r="180" spans="2:7" ht="15" hidden="1">
      <c r="B180" s="195"/>
      <c r="C180" s="195"/>
      <c r="D180" s="195"/>
      <c r="E180" s="195"/>
      <c r="F180" s="698"/>
      <c r="G180" s="699"/>
    </row>
    <row r="181" spans="2:7" ht="15" hidden="1">
      <c r="B181" s="195"/>
      <c r="C181" s="195"/>
      <c r="D181" s="195"/>
      <c r="E181" s="195"/>
      <c r="F181" s="698"/>
      <c r="G181" s="699"/>
    </row>
    <row r="182" spans="2:7" ht="15" hidden="1">
      <c r="B182" s="700" t="s">
        <v>18</v>
      </c>
      <c r="C182" s="701"/>
      <c r="D182" s="701"/>
      <c r="E182" s="702"/>
      <c r="F182" s="707">
        <f>F180+F181</f>
        <v>0</v>
      </c>
      <c r="G182" s="708"/>
    </row>
    <row r="183" spans="2:7" ht="15" hidden="1">
      <c r="B183" s="197"/>
      <c r="C183" s="197"/>
      <c r="D183" s="197"/>
      <c r="E183" s="197"/>
      <c r="F183" s="198"/>
      <c r="G183" s="198"/>
    </row>
    <row r="184" spans="2:7" ht="15">
      <c r="B184" s="694" t="s">
        <v>309</v>
      </c>
      <c r="C184" s="695"/>
      <c r="D184" s="695"/>
      <c r="E184" s="197"/>
      <c r="F184" s="198"/>
      <c r="G184" s="198"/>
    </row>
    <row r="186" spans="2:7" ht="15">
      <c r="B186" s="697" t="s">
        <v>255</v>
      </c>
      <c r="C186" s="697"/>
      <c r="D186" s="697"/>
      <c r="E186" s="697"/>
      <c r="F186" s="697"/>
      <c r="G186" s="697"/>
    </row>
    <row r="188" spans="2:7" ht="46.5">
      <c r="B188" s="153" t="s">
        <v>33</v>
      </c>
      <c r="C188" s="153" t="s">
        <v>238</v>
      </c>
      <c r="D188" s="153" t="s">
        <v>245</v>
      </c>
      <c r="E188" s="153" t="s">
        <v>246</v>
      </c>
      <c r="F188" s="698" t="s">
        <v>237</v>
      </c>
      <c r="G188" s="699"/>
    </row>
    <row r="189" spans="2:7" ht="15">
      <c r="B189" s="153">
        <v>1</v>
      </c>
      <c r="C189" s="153">
        <v>2</v>
      </c>
      <c r="D189" s="153">
        <v>3</v>
      </c>
      <c r="E189" s="153">
        <v>4</v>
      </c>
      <c r="F189" s="698">
        <v>5</v>
      </c>
      <c r="G189" s="699"/>
    </row>
    <row r="190" spans="2:7" ht="46.5">
      <c r="B190" s="195">
        <v>1</v>
      </c>
      <c r="C190" s="195" t="s">
        <v>678</v>
      </c>
      <c r="D190" s="153">
        <v>250</v>
      </c>
      <c r="E190" s="249">
        <f>F190/D190</f>
        <v>197.58808</v>
      </c>
      <c r="F190" s="692">
        <v>49397.02</v>
      </c>
      <c r="G190" s="693"/>
    </row>
    <row r="191" spans="2:7" ht="15" hidden="1">
      <c r="B191" s="195"/>
      <c r="C191" s="195"/>
      <c r="D191" s="195"/>
      <c r="E191" s="195"/>
      <c r="F191" s="698"/>
      <c r="G191" s="699"/>
    </row>
    <row r="192" spans="2:7" ht="15">
      <c r="B192" s="700" t="s">
        <v>18</v>
      </c>
      <c r="C192" s="701"/>
      <c r="D192" s="701"/>
      <c r="E192" s="702"/>
      <c r="F192" s="703">
        <f>F190+F191</f>
        <v>49397.02</v>
      </c>
      <c r="G192" s="704"/>
    </row>
    <row r="193" spans="2:7" ht="15">
      <c r="B193" s="197"/>
      <c r="C193" s="197"/>
      <c r="D193" s="197"/>
      <c r="E193" s="197"/>
      <c r="F193" s="198"/>
      <c r="G193" s="198"/>
    </row>
    <row r="194" spans="2:7" ht="15" hidden="1">
      <c r="B194" s="709" t="s">
        <v>286</v>
      </c>
      <c r="C194" s="710"/>
      <c r="D194" s="710"/>
      <c r="E194" s="197"/>
      <c r="F194" s="198"/>
      <c r="G194" s="198"/>
    </row>
    <row r="195" ht="15" hidden="1"/>
    <row r="196" spans="2:7" ht="15" hidden="1">
      <c r="B196" s="697" t="s">
        <v>256</v>
      </c>
      <c r="C196" s="697"/>
      <c r="D196" s="697"/>
      <c r="E196" s="697"/>
      <c r="F196" s="697"/>
      <c r="G196" s="697"/>
    </row>
    <row r="197" ht="15" hidden="1"/>
    <row r="198" spans="2:7" ht="15" hidden="1">
      <c r="B198" s="153" t="s">
        <v>33</v>
      </c>
      <c r="C198" s="153" t="s">
        <v>238</v>
      </c>
      <c r="D198" s="698" t="s">
        <v>247</v>
      </c>
      <c r="E198" s="699"/>
      <c r="F198" s="698" t="s">
        <v>237</v>
      </c>
      <c r="G198" s="699"/>
    </row>
    <row r="199" spans="2:7" ht="15" hidden="1">
      <c r="B199" s="153">
        <v>1</v>
      </c>
      <c r="C199" s="153">
        <v>2</v>
      </c>
      <c r="D199" s="698">
        <v>3</v>
      </c>
      <c r="E199" s="699"/>
      <c r="F199" s="698">
        <v>5</v>
      </c>
      <c r="G199" s="699"/>
    </row>
    <row r="200" spans="2:7" ht="15" hidden="1">
      <c r="B200" s="195"/>
      <c r="C200" s="195"/>
      <c r="D200" s="698"/>
      <c r="E200" s="699"/>
      <c r="F200" s="698"/>
      <c r="G200" s="699"/>
    </row>
    <row r="201" spans="2:7" ht="15" hidden="1">
      <c r="B201" s="195"/>
      <c r="C201" s="195"/>
      <c r="D201" s="698"/>
      <c r="E201" s="699"/>
      <c r="F201" s="698"/>
      <c r="G201" s="699"/>
    </row>
    <row r="202" spans="2:7" ht="15" hidden="1">
      <c r="B202" s="700" t="s">
        <v>18</v>
      </c>
      <c r="C202" s="701"/>
      <c r="D202" s="701"/>
      <c r="E202" s="702"/>
      <c r="F202" s="707">
        <f>F200+F201</f>
        <v>0</v>
      </c>
      <c r="G202" s="708"/>
    </row>
    <row r="203" ht="15" hidden="1"/>
    <row r="204" spans="2:7" ht="15" hidden="1">
      <c r="B204" s="626" t="s">
        <v>248</v>
      </c>
      <c r="C204" s="626"/>
      <c r="D204" s="626"/>
      <c r="E204" s="626"/>
      <c r="F204" s="626"/>
      <c r="G204" s="626"/>
    </row>
    <row r="205" spans="2:7" ht="15" hidden="1">
      <c r="B205" s="196"/>
      <c r="C205" s="196"/>
      <c r="D205" s="196"/>
      <c r="E205" s="196"/>
      <c r="F205" s="196"/>
      <c r="G205" s="196"/>
    </row>
    <row r="206" spans="2:7" ht="15">
      <c r="B206" s="711" t="s">
        <v>310</v>
      </c>
      <c r="C206" s="712"/>
      <c r="D206" s="712"/>
      <c r="E206" s="196"/>
      <c r="F206" s="196"/>
      <c r="G206" s="196"/>
    </row>
    <row r="208" spans="2:7" ht="15">
      <c r="B208" s="697" t="s">
        <v>257</v>
      </c>
      <c r="C208" s="697"/>
      <c r="D208" s="697"/>
      <c r="E208" s="697"/>
      <c r="F208" s="697"/>
      <c r="G208" s="697"/>
    </row>
    <row r="210" spans="2:7" ht="62.25">
      <c r="B210" s="153" t="s">
        <v>33</v>
      </c>
      <c r="C210" s="153" t="s">
        <v>238</v>
      </c>
      <c r="D210" s="153" t="s">
        <v>249</v>
      </c>
      <c r="E210" s="153" t="s">
        <v>250</v>
      </c>
      <c r="F210" s="698" t="s">
        <v>237</v>
      </c>
      <c r="G210" s="699"/>
    </row>
    <row r="211" spans="2:7" ht="15">
      <c r="B211" s="153">
        <v>1</v>
      </c>
      <c r="C211" s="153">
        <v>2</v>
      </c>
      <c r="D211" s="153">
        <v>3</v>
      </c>
      <c r="E211" s="153">
        <v>4</v>
      </c>
      <c r="F211" s="698">
        <v>5</v>
      </c>
      <c r="G211" s="699"/>
    </row>
    <row r="212" spans="2:7" ht="15">
      <c r="B212" s="195">
        <v>1</v>
      </c>
      <c r="C212" s="195" t="s">
        <v>307</v>
      </c>
      <c r="D212" s="153">
        <v>1000</v>
      </c>
      <c r="E212" s="153">
        <v>1</v>
      </c>
      <c r="F212" s="692">
        <v>1000</v>
      </c>
      <c r="G212" s="693"/>
    </row>
    <row r="213" spans="2:7" ht="15" hidden="1">
      <c r="B213" s="195"/>
      <c r="C213" s="195"/>
      <c r="D213" s="195"/>
      <c r="E213" s="195"/>
      <c r="F213" s="698"/>
      <c r="G213" s="699"/>
    </row>
    <row r="214" spans="2:7" ht="15">
      <c r="B214" s="700" t="s">
        <v>18</v>
      </c>
      <c r="C214" s="701"/>
      <c r="D214" s="701"/>
      <c r="E214" s="702"/>
      <c r="F214" s="703">
        <f>F212+F213</f>
        <v>1000</v>
      </c>
      <c r="G214" s="704"/>
    </row>
  </sheetData>
  <sheetProtection/>
  <mergeCells count="198">
    <mergeCell ref="F53:G53"/>
    <mergeCell ref="F54:G54"/>
    <mergeCell ref="B55:E55"/>
    <mergeCell ref="F55:G55"/>
    <mergeCell ref="F211:G211"/>
    <mergeCell ref="F212:G212"/>
    <mergeCell ref="D199:E199"/>
    <mergeCell ref="F199:G199"/>
    <mergeCell ref="D200:E200"/>
    <mergeCell ref="F200:G200"/>
    <mergeCell ref="F213:G213"/>
    <mergeCell ref="B214:E214"/>
    <mergeCell ref="F214:G214"/>
    <mergeCell ref="B202:E202"/>
    <mergeCell ref="F202:G202"/>
    <mergeCell ref="B204:G204"/>
    <mergeCell ref="B206:D206"/>
    <mergeCell ref="B208:G208"/>
    <mergeCell ref="F210:G210"/>
    <mergeCell ref="D201:E201"/>
    <mergeCell ref="F201:G201"/>
    <mergeCell ref="B192:E192"/>
    <mergeCell ref="F192:G192"/>
    <mergeCell ref="B194:D194"/>
    <mergeCell ref="B196:G196"/>
    <mergeCell ref="D198:E198"/>
    <mergeCell ref="F198:G198"/>
    <mergeCell ref="B184:D184"/>
    <mergeCell ref="B186:G186"/>
    <mergeCell ref="F188:G188"/>
    <mergeCell ref="F189:G189"/>
    <mergeCell ref="F190:G190"/>
    <mergeCell ref="F191:G191"/>
    <mergeCell ref="B176:G176"/>
    <mergeCell ref="F178:G178"/>
    <mergeCell ref="F179:G179"/>
    <mergeCell ref="F180:G180"/>
    <mergeCell ref="F181:G181"/>
    <mergeCell ref="B182:E182"/>
    <mergeCell ref="F182:G182"/>
    <mergeCell ref="B168:G168"/>
    <mergeCell ref="F170:G170"/>
    <mergeCell ref="F171:G171"/>
    <mergeCell ref="F172:G172"/>
    <mergeCell ref="F173:G173"/>
    <mergeCell ref="B174:E174"/>
    <mergeCell ref="F174:G174"/>
    <mergeCell ref="F162:G162"/>
    <mergeCell ref="F163:G163"/>
    <mergeCell ref="F164:G164"/>
    <mergeCell ref="F165:G165"/>
    <mergeCell ref="B166:E166"/>
    <mergeCell ref="F166:G166"/>
    <mergeCell ref="F155:G155"/>
    <mergeCell ref="F156:G156"/>
    <mergeCell ref="F157:G157"/>
    <mergeCell ref="B158:E158"/>
    <mergeCell ref="F158:G158"/>
    <mergeCell ref="B160:G160"/>
    <mergeCell ref="B147:G147"/>
    <mergeCell ref="B148:G148"/>
    <mergeCell ref="B150:G150"/>
    <mergeCell ref="B152:G152"/>
    <mergeCell ref="B153:G153"/>
    <mergeCell ref="F154:G154"/>
    <mergeCell ref="F140:G140"/>
    <mergeCell ref="F141:G141"/>
    <mergeCell ref="F142:G142"/>
    <mergeCell ref="B143:E143"/>
    <mergeCell ref="F143:G143"/>
    <mergeCell ref="B146:G146"/>
    <mergeCell ref="B132:E132"/>
    <mergeCell ref="F132:G132"/>
    <mergeCell ref="B134:G134"/>
    <mergeCell ref="B136:D136"/>
    <mergeCell ref="B137:G137"/>
    <mergeCell ref="F139:G139"/>
    <mergeCell ref="D129:E129"/>
    <mergeCell ref="F129:G129"/>
    <mergeCell ref="D130:E130"/>
    <mergeCell ref="F130:G130"/>
    <mergeCell ref="D131:E131"/>
    <mergeCell ref="F131:G131"/>
    <mergeCell ref="B123:E123"/>
    <mergeCell ref="F123:G123"/>
    <mergeCell ref="B124:D124"/>
    <mergeCell ref="B126:G126"/>
    <mergeCell ref="D128:E128"/>
    <mergeCell ref="F128:G128"/>
    <mergeCell ref="B116:D116"/>
    <mergeCell ref="B118:G118"/>
    <mergeCell ref="F119:G119"/>
    <mergeCell ref="F120:G120"/>
    <mergeCell ref="F121:G121"/>
    <mergeCell ref="F122:G122"/>
    <mergeCell ref="B108:G108"/>
    <mergeCell ref="F110:G110"/>
    <mergeCell ref="F111:G111"/>
    <mergeCell ref="F112:G112"/>
    <mergeCell ref="F113:G113"/>
    <mergeCell ref="B114:E114"/>
    <mergeCell ref="F114:G114"/>
    <mergeCell ref="B100:G100"/>
    <mergeCell ref="F102:G102"/>
    <mergeCell ref="F103:G103"/>
    <mergeCell ref="F104:G104"/>
    <mergeCell ref="F105:G105"/>
    <mergeCell ref="B106:E106"/>
    <mergeCell ref="F106:G106"/>
    <mergeCell ref="B93:G93"/>
    <mergeCell ref="F95:G95"/>
    <mergeCell ref="F96:G96"/>
    <mergeCell ref="F97:G97"/>
    <mergeCell ref="F98:G98"/>
    <mergeCell ref="B99:E99"/>
    <mergeCell ref="F99:G99"/>
    <mergeCell ref="F88:G88"/>
    <mergeCell ref="F89:G89"/>
    <mergeCell ref="F90:G90"/>
    <mergeCell ref="F91:G91"/>
    <mergeCell ref="B92:E92"/>
    <mergeCell ref="F92:G92"/>
    <mergeCell ref="F14:G14"/>
    <mergeCell ref="B83:G83"/>
    <mergeCell ref="B85:G85"/>
    <mergeCell ref="B86:G86"/>
    <mergeCell ref="B87:G87"/>
    <mergeCell ref="F39:G39"/>
    <mergeCell ref="B40:E40"/>
    <mergeCell ref="F40:G40"/>
    <mergeCell ref="F38:G38"/>
    <mergeCell ref="F22:G22"/>
    <mergeCell ref="B32:E32"/>
    <mergeCell ref="F32:G32"/>
    <mergeCell ref="B34:G34"/>
    <mergeCell ref="F36:G36"/>
    <mergeCell ref="F37:G37"/>
    <mergeCell ref="B16:G16"/>
    <mergeCell ref="F17:G17"/>
    <mergeCell ref="F18:G18"/>
    <mergeCell ref="F19:G19"/>
    <mergeCell ref="B26:G26"/>
    <mergeCell ref="B47:E47"/>
    <mergeCell ref="F47:G47"/>
    <mergeCell ref="B60:G60"/>
    <mergeCell ref="F62:G62"/>
    <mergeCell ref="F63:G63"/>
    <mergeCell ref="F75:G75"/>
    <mergeCell ref="B48:D48"/>
    <mergeCell ref="B49:G49"/>
    <mergeCell ref="F51:G51"/>
    <mergeCell ref="F52:G52"/>
    <mergeCell ref="D64:E64"/>
    <mergeCell ref="D65:E65"/>
    <mergeCell ref="B72:G72"/>
    <mergeCell ref="F77:G77"/>
    <mergeCell ref="B70:D70"/>
    <mergeCell ref="F76:G76"/>
    <mergeCell ref="B57:D57"/>
    <mergeCell ref="F43:G43"/>
    <mergeCell ref="B42:G42"/>
    <mergeCell ref="B78:E78"/>
    <mergeCell ref="F78:G78"/>
    <mergeCell ref="F64:G64"/>
    <mergeCell ref="F65:G65"/>
    <mergeCell ref="B66:E66"/>
    <mergeCell ref="D62:E62"/>
    <mergeCell ref="D63:E63"/>
    <mergeCell ref="F20:G20"/>
    <mergeCell ref="B82:G82"/>
    <mergeCell ref="F31:G31"/>
    <mergeCell ref="F10:G10"/>
    <mergeCell ref="F11:G11"/>
    <mergeCell ref="F12:G12"/>
    <mergeCell ref="F28:G28"/>
    <mergeCell ref="F29:G29"/>
    <mergeCell ref="F30:G30"/>
    <mergeCell ref="F74:G74"/>
    <mergeCell ref="B14:E14"/>
    <mergeCell ref="B24:E24"/>
    <mergeCell ref="F24:G24"/>
    <mergeCell ref="B81:G81"/>
    <mergeCell ref="F44:G44"/>
    <mergeCell ref="F45:G45"/>
    <mergeCell ref="F46:G46"/>
    <mergeCell ref="B68:G68"/>
    <mergeCell ref="F66:G66"/>
    <mergeCell ref="B59:D59"/>
    <mergeCell ref="F23:G23"/>
    <mergeCell ref="F21:G21"/>
    <mergeCell ref="B15:D15"/>
    <mergeCell ref="B8:G8"/>
    <mergeCell ref="B3:G3"/>
    <mergeCell ref="B2:G2"/>
    <mergeCell ref="B4:G4"/>
    <mergeCell ref="B9:G9"/>
    <mergeCell ref="B6:G6"/>
    <mergeCell ref="F13:G13"/>
  </mergeCells>
  <printOptions/>
  <pageMargins left="0.1968503937007874" right="0.1968503937007874" top="0.1968503937007874" bottom="0.1968503937007874" header="0.31496062992125984" footer="0.31496062992125984"/>
  <pageSetup fitToHeight="0" fitToWidth="1" horizontalDpi="600" verticalDpi="600" orientation="portrait" paperSize="9" scale="81" r:id="rId1"/>
  <rowBreaks count="2" manualBreakCount="2">
    <brk id="79" max="255" man="1"/>
    <brk id="14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T97"/>
  <sheetViews>
    <sheetView zoomScale="90" zoomScaleNormal="90" zoomScalePageLayoutView="0" workbookViewId="0" topLeftCell="A58">
      <selection activeCell="Q58" sqref="Q58"/>
    </sheetView>
  </sheetViews>
  <sheetFormatPr defaultColWidth="9.140625" defaultRowHeight="15"/>
  <cols>
    <col min="1" max="1" width="33.00390625" style="0" customWidth="1"/>
    <col min="2" max="2" width="5.8515625" style="0" customWidth="1"/>
    <col min="3" max="3" width="7.140625" style="0" customWidth="1"/>
    <col min="4" max="4" width="13.421875" style="0" customWidth="1"/>
    <col min="5" max="5" width="16.8515625" style="0" customWidth="1"/>
    <col min="6" max="6" width="13.7109375" style="0" customWidth="1"/>
    <col min="7" max="7" width="12.8515625" style="0" customWidth="1"/>
    <col min="8" max="8" width="11.28125" style="0" customWidth="1"/>
    <col min="9" max="9" width="0" style="0" hidden="1" customWidth="1"/>
    <col min="10" max="10" width="11.140625" style="0" customWidth="1"/>
    <col min="11" max="11" width="12.28125" style="0" customWidth="1"/>
    <col min="12" max="12" width="12.7109375" style="0" customWidth="1"/>
    <col min="13" max="13" width="12.140625" style="0" customWidth="1"/>
    <col min="14" max="14" width="11.8515625" style="0" customWidth="1"/>
    <col min="15" max="15" width="13.7109375" style="0" customWidth="1"/>
    <col min="16" max="16" width="11.421875" style="0" customWidth="1"/>
    <col min="17" max="17" width="10.00390625" style="0" customWidth="1"/>
    <col min="18" max="18" width="13.421875" style="0" customWidth="1"/>
    <col min="19" max="19" width="11.00390625" style="0" customWidth="1"/>
    <col min="20" max="20" width="7.7109375" style="0" customWidth="1"/>
  </cols>
  <sheetData>
    <row r="1" spans="1:20" s="290" customFormat="1" ht="20.25" customHeight="1">
      <c r="A1" s="289"/>
      <c r="B1" s="289"/>
      <c r="C1" s="289"/>
      <c r="D1" s="289"/>
      <c r="E1" s="289"/>
      <c r="F1" s="289"/>
      <c r="G1" s="289"/>
      <c r="H1" s="289"/>
      <c r="I1" s="289"/>
      <c r="J1" s="289"/>
      <c r="K1" s="289"/>
      <c r="L1" s="289"/>
      <c r="M1" s="289"/>
      <c r="N1" s="483" t="s">
        <v>420</v>
      </c>
      <c r="O1" s="483"/>
      <c r="P1" s="483"/>
      <c r="Q1" s="483"/>
      <c r="R1" s="483"/>
      <c r="S1" s="483"/>
      <c r="T1" s="483"/>
    </row>
    <row r="2" spans="1:20" s="290" customFormat="1" ht="15.75" customHeight="1">
      <c r="A2" s="289"/>
      <c r="B2" s="289"/>
      <c r="C2" s="289"/>
      <c r="D2" s="289"/>
      <c r="E2" s="289"/>
      <c r="F2" s="289"/>
      <c r="G2" s="289"/>
      <c r="H2" s="289"/>
      <c r="I2" s="289"/>
      <c r="J2" s="289"/>
      <c r="K2" s="289"/>
      <c r="L2" s="289"/>
      <c r="M2" s="289"/>
      <c r="N2" s="494" t="s">
        <v>538</v>
      </c>
      <c r="O2" s="494"/>
      <c r="P2" s="494"/>
      <c r="Q2" s="494"/>
      <c r="R2" s="494"/>
      <c r="S2" s="494"/>
      <c r="T2" s="494"/>
    </row>
    <row r="3" spans="1:20" s="290" customFormat="1" ht="19.5" customHeight="1">
      <c r="A3" s="289"/>
      <c r="B3" s="289"/>
      <c r="C3" s="289"/>
      <c r="D3" s="289"/>
      <c r="E3" s="289"/>
      <c r="F3" s="289"/>
      <c r="G3" s="289"/>
      <c r="H3" s="289"/>
      <c r="I3" s="289"/>
      <c r="J3" s="289"/>
      <c r="K3" s="289"/>
      <c r="L3" s="289"/>
      <c r="M3" s="289"/>
      <c r="N3" s="483" t="s">
        <v>539</v>
      </c>
      <c r="O3" s="483"/>
      <c r="P3" s="483"/>
      <c r="Q3" s="483"/>
      <c r="R3" s="483"/>
      <c r="S3" s="483"/>
      <c r="T3" s="483"/>
    </row>
    <row r="4" spans="1:20" s="290" customFormat="1" ht="24" customHeight="1">
      <c r="A4" s="289"/>
      <c r="B4" s="289"/>
      <c r="C4" s="289"/>
      <c r="D4" s="289"/>
      <c r="E4" s="289"/>
      <c r="F4" s="289"/>
      <c r="G4" s="289"/>
      <c r="H4" s="289"/>
      <c r="I4" s="289"/>
      <c r="J4" s="289"/>
      <c r="K4" s="289"/>
      <c r="L4" s="289"/>
      <c r="M4" s="289"/>
      <c r="N4" s="289"/>
      <c r="O4" s="289"/>
      <c r="P4" s="289"/>
      <c r="Q4" s="289"/>
      <c r="R4" s="289"/>
      <c r="S4" s="485" t="str">
        <f>'Пр.1Титульный лист'!I8</f>
        <v>22.12.2023</v>
      </c>
      <c r="T4" s="486"/>
    </row>
    <row r="5" spans="1:20" s="273" customFormat="1" ht="27.75" customHeight="1">
      <c r="A5" s="487" t="s">
        <v>981</v>
      </c>
      <c r="B5" s="488"/>
      <c r="C5" s="488"/>
      <c r="D5" s="488"/>
      <c r="E5" s="488"/>
      <c r="F5" s="488"/>
      <c r="G5" s="488"/>
      <c r="H5" s="488"/>
      <c r="I5" s="488"/>
      <c r="J5" s="488"/>
      <c r="K5" s="488"/>
      <c r="L5" s="488"/>
      <c r="M5" s="488"/>
      <c r="N5" s="488"/>
      <c r="O5" s="488"/>
      <c r="P5" s="488"/>
      <c r="Q5" s="488"/>
      <c r="R5" s="488"/>
      <c r="S5" s="488"/>
      <c r="T5" s="488"/>
    </row>
    <row r="6" spans="1:20" s="273" customFormat="1" ht="29.25" customHeight="1">
      <c r="A6" s="489" t="s">
        <v>456</v>
      </c>
      <c r="B6" s="488"/>
      <c r="C6" s="488"/>
      <c r="D6" s="488"/>
      <c r="E6" s="488"/>
      <c r="F6" s="488"/>
      <c r="G6" s="488"/>
      <c r="H6" s="488"/>
      <c r="I6" s="488"/>
      <c r="J6" s="488"/>
      <c r="K6" s="488"/>
      <c r="L6" s="488"/>
      <c r="M6" s="488"/>
      <c r="N6" s="488"/>
      <c r="O6" s="488"/>
      <c r="P6" s="488"/>
      <c r="Q6" s="488"/>
      <c r="R6" s="488"/>
      <c r="S6" s="488"/>
      <c r="T6" s="488"/>
    </row>
    <row r="7" spans="1:20" s="273" customFormat="1" ht="6" customHeight="1">
      <c r="A7" s="274"/>
      <c r="B7" s="275"/>
      <c r="C7" s="275"/>
      <c r="D7" s="275"/>
      <c r="E7" s="275"/>
      <c r="F7" s="275"/>
      <c r="G7" s="275"/>
      <c r="H7" s="275"/>
      <c r="I7" s="275"/>
      <c r="J7" s="275"/>
      <c r="K7" s="275"/>
      <c r="L7" s="275"/>
      <c r="M7" s="275"/>
      <c r="N7" s="275"/>
      <c r="O7" s="275"/>
      <c r="P7" s="275"/>
      <c r="Q7" s="275"/>
      <c r="R7" s="275"/>
      <c r="S7" s="275"/>
      <c r="T7" s="275"/>
    </row>
    <row r="8" spans="1:20" s="273" customFormat="1" ht="42.75" customHeight="1">
      <c r="A8" s="478" t="s">
        <v>457</v>
      </c>
      <c r="B8" s="493" t="s">
        <v>458</v>
      </c>
      <c r="C8" s="493" t="s">
        <v>459</v>
      </c>
      <c r="D8" s="480" t="s">
        <v>460</v>
      </c>
      <c r="E8" s="481"/>
      <c r="F8" s="481"/>
      <c r="G8" s="475" t="s">
        <v>461</v>
      </c>
      <c r="H8" s="482"/>
      <c r="I8" s="482"/>
      <c r="J8" s="482"/>
      <c r="K8" s="482"/>
      <c r="L8" s="482"/>
      <c r="M8" s="482"/>
      <c r="N8" s="490" t="s">
        <v>462</v>
      </c>
      <c r="O8" s="491"/>
      <c r="P8" s="491"/>
      <c r="Q8" s="492"/>
      <c r="R8" s="475" t="s">
        <v>463</v>
      </c>
      <c r="S8" s="493" t="s">
        <v>485</v>
      </c>
      <c r="T8" s="478" t="s">
        <v>486</v>
      </c>
    </row>
    <row r="9" spans="1:20" s="273" customFormat="1" ht="186.75" customHeight="1">
      <c r="A9" s="479"/>
      <c r="B9" s="493"/>
      <c r="C9" s="493"/>
      <c r="D9" s="291" t="s">
        <v>464</v>
      </c>
      <c r="E9" s="291" t="s">
        <v>465</v>
      </c>
      <c r="F9" s="292" t="s">
        <v>466</v>
      </c>
      <c r="G9" s="291" t="s">
        <v>467</v>
      </c>
      <c r="H9" s="291" t="s">
        <v>468</v>
      </c>
      <c r="I9" s="291" t="s">
        <v>61</v>
      </c>
      <c r="J9" s="291" t="s">
        <v>469</v>
      </c>
      <c r="K9" s="291" t="s">
        <v>470</v>
      </c>
      <c r="L9" s="291" t="s">
        <v>471</v>
      </c>
      <c r="M9" s="291" t="s">
        <v>472</v>
      </c>
      <c r="N9" s="291" t="s">
        <v>473</v>
      </c>
      <c r="O9" s="291" t="s">
        <v>474</v>
      </c>
      <c r="P9" s="291" t="s">
        <v>475</v>
      </c>
      <c r="Q9" s="291" t="s">
        <v>476</v>
      </c>
      <c r="R9" s="475"/>
      <c r="S9" s="493"/>
      <c r="T9" s="496"/>
    </row>
    <row r="10" spans="1:20" s="326" customFormat="1" ht="5.25" customHeight="1" hidden="1">
      <c r="A10" s="495" t="s">
        <v>413</v>
      </c>
      <c r="B10" s="495"/>
      <c r="C10" s="495"/>
      <c r="D10" s="495"/>
      <c r="E10" s="495"/>
      <c r="F10" s="495"/>
      <c r="G10" s="495"/>
      <c r="H10" s="495"/>
      <c r="I10" s="495"/>
      <c r="J10" s="495"/>
      <c r="K10" s="495"/>
      <c r="L10" s="495"/>
      <c r="M10" s="495"/>
      <c r="N10" s="495"/>
      <c r="O10" s="495"/>
      <c r="P10" s="495"/>
      <c r="Q10" s="495"/>
      <c r="R10" s="495"/>
      <c r="S10" s="495"/>
      <c r="T10" s="495"/>
    </row>
    <row r="11" spans="1:20" s="273" customFormat="1" ht="42.75" customHeight="1" hidden="1">
      <c r="A11" s="293" t="s">
        <v>479</v>
      </c>
      <c r="B11" s="282">
        <v>208</v>
      </c>
      <c r="C11" s="276" t="s">
        <v>477</v>
      </c>
      <c r="D11" s="277">
        <f>D18/496*B11</f>
        <v>14229307.677419357</v>
      </c>
      <c r="E11" s="277">
        <f>E18/496*B11</f>
        <v>1077680.793548387</v>
      </c>
      <c r="F11" s="277">
        <f>F18/496*B11</f>
        <v>712064.5161290322</v>
      </c>
      <c r="G11" s="277">
        <f>G18/496*B11</f>
        <v>2746606.4516129033</v>
      </c>
      <c r="H11" s="277">
        <f>H18/496*B11</f>
        <v>1872.4193548387098</v>
      </c>
      <c r="I11" s="277">
        <f>I18/504*B11</f>
        <v>0</v>
      </c>
      <c r="J11" s="277">
        <f>J18/496*B11</f>
        <v>182854.2258064516</v>
      </c>
      <c r="K11" s="277">
        <f>K18/496*B11</f>
        <v>912488.4516129033</v>
      </c>
      <c r="L11" s="277">
        <f>L18/474*B11</f>
        <v>0</v>
      </c>
      <c r="M11" s="277">
        <f>M18/496*B11</f>
        <v>33365.54838709677</v>
      </c>
      <c r="N11" s="277">
        <f>N18/496*B11</f>
        <v>171935.48387096776</v>
      </c>
      <c r="O11" s="277">
        <f>O18/496*B11</f>
        <v>664677.4193548387</v>
      </c>
      <c r="P11" s="277">
        <f>P18/496*B11</f>
        <v>88064.51612903226</v>
      </c>
      <c r="Q11" s="277">
        <f>Q18/496*B11</f>
        <v>29354.838709677417</v>
      </c>
      <c r="R11" s="277">
        <f aca="true" t="shared" si="0" ref="R11:R17">SUM(D11:Q11)</f>
        <v>20850272.341935486</v>
      </c>
      <c r="S11" s="277">
        <f aca="true" t="shared" si="1" ref="S11:S17">R11/B11</f>
        <v>100241.6939516129</v>
      </c>
      <c r="T11" s="276"/>
    </row>
    <row r="12" spans="1:20" s="273" customFormat="1" ht="36" hidden="1">
      <c r="A12" s="293" t="s">
        <v>561</v>
      </c>
      <c r="B12" s="282">
        <v>24</v>
      </c>
      <c r="C12" s="276" t="s">
        <v>477</v>
      </c>
      <c r="D12" s="277">
        <f>D18/496*B12</f>
        <v>1641843.1935483874</v>
      </c>
      <c r="E12" s="277">
        <f>E18/496*B12</f>
        <v>124347.78387096775</v>
      </c>
      <c r="F12" s="277">
        <f>F18/496*B12</f>
        <v>82161.29032258065</v>
      </c>
      <c r="G12" s="277">
        <f>G18/496*B12</f>
        <v>316916.12903225806</v>
      </c>
      <c r="H12" s="277">
        <f>H18/496*B12</f>
        <v>216.0483870967742</v>
      </c>
      <c r="I12" s="277">
        <f>I18/504*B12</f>
        <v>0</v>
      </c>
      <c r="J12" s="277">
        <f>J18/496*B12</f>
        <v>21098.56451612903</v>
      </c>
      <c r="K12" s="277">
        <f>K18/496*B12</f>
        <v>105287.12903225806</v>
      </c>
      <c r="L12" s="277">
        <f>L18/474*B12</f>
        <v>0</v>
      </c>
      <c r="M12" s="277">
        <f>M18/496*B12</f>
        <v>3849.8709677419356</v>
      </c>
      <c r="N12" s="277">
        <f>N18/496*B12</f>
        <v>19838.709677419356</v>
      </c>
      <c r="O12" s="277">
        <f>O18/496*B12</f>
        <v>76693.54838709677</v>
      </c>
      <c r="P12" s="277">
        <f>P18/496*B12</f>
        <v>10161.290322580644</v>
      </c>
      <c r="Q12" s="277">
        <f>Q18/496*B12</f>
        <v>3387.0967741935483</v>
      </c>
      <c r="R12" s="277">
        <f t="shared" si="0"/>
        <v>2405800.6548387096</v>
      </c>
      <c r="S12" s="277">
        <f t="shared" si="1"/>
        <v>100241.6939516129</v>
      </c>
      <c r="T12" s="276"/>
    </row>
    <row r="13" spans="1:20" s="273" customFormat="1" ht="36" hidden="1">
      <c r="A13" s="293" t="s">
        <v>562</v>
      </c>
      <c r="B13" s="282">
        <v>1</v>
      </c>
      <c r="C13" s="276" t="s">
        <v>477</v>
      </c>
      <c r="D13" s="277">
        <f>D18/496*B13</f>
        <v>68410.13306451614</v>
      </c>
      <c r="E13" s="277">
        <f>E18/496*B13</f>
        <v>5181.157661290323</v>
      </c>
      <c r="F13" s="277">
        <f>F18/496*B13</f>
        <v>3423.3870967741937</v>
      </c>
      <c r="G13" s="277">
        <f>G18/496*B13</f>
        <v>13204.838709677419</v>
      </c>
      <c r="H13" s="277">
        <f>H18/496*B13</f>
        <v>9.002016129032258</v>
      </c>
      <c r="I13" s="277">
        <f>I18/504*B13</f>
        <v>0</v>
      </c>
      <c r="J13" s="277">
        <f>J18/496*B13</f>
        <v>879.1068548387096</v>
      </c>
      <c r="K13" s="277">
        <f>K18/496*B13</f>
        <v>4386.9637096774195</v>
      </c>
      <c r="L13" s="277">
        <f>L18/474*B13</f>
        <v>0</v>
      </c>
      <c r="M13" s="277">
        <f>M18/496*B13</f>
        <v>160.41129032258064</v>
      </c>
      <c r="N13" s="277">
        <f>N18/496*B13</f>
        <v>826.6129032258065</v>
      </c>
      <c r="O13" s="277">
        <f>O18/496*B13</f>
        <v>3195.564516129032</v>
      </c>
      <c r="P13" s="277">
        <f>P18/496*B13</f>
        <v>423.38709677419354</v>
      </c>
      <c r="Q13" s="277">
        <f>Q18/496*B13</f>
        <v>141.1290322580645</v>
      </c>
      <c r="R13" s="277">
        <f t="shared" si="0"/>
        <v>100241.69395161292</v>
      </c>
      <c r="S13" s="277">
        <f t="shared" si="1"/>
        <v>100241.69395161292</v>
      </c>
      <c r="T13" s="276"/>
    </row>
    <row r="14" spans="1:20" s="273" customFormat="1" ht="36" hidden="1">
      <c r="A14" s="293" t="s">
        <v>563</v>
      </c>
      <c r="B14" s="276">
        <v>2</v>
      </c>
      <c r="C14" s="276" t="s">
        <v>477</v>
      </c>
      <c r="D14" s="277">
        <f>D18/496*B14</f>
        <v>136820.26612903227</v>
      </c>
      <c r="E14" s="277">
        <f>E18/496*B14</f>
        <v>10362.315322580645</v>
      </c>
      <c r="F14" s="277">
        <f>F18/496*B14</f>
        <v>6846.774193548387</v>
      </c>
      <c r="G14" s="277">
        <f>G18/496*B14</f>
        <v>26409.677419354837</v>
      </c>
      <c r="H14" s="277">
        <f>H18/496*B14</f>
        <v>18.004032258064516</v>
      </c>
      <c r="I14" s="277">
        <f>I18/504*B14</f>
        <v>0</v>
      </c>
      <c r="J14" s="277">
        <f>J18/496*B14</f>
        <v>1758.2137096774193</v>
      </c>
      <c r="K14" s="277">
        <f>K18/496*B14</f>
        <v>8773.927419354839</v>
      </c>
      <c r="L14" s="277">
        <f>L18/474*B14</f>
        <v>0</v>
      </c>
      <c r="M14" s="277">
        <f>M18/496*B14</f>
        <v>320.8225806451613</v>
      </c>
      <c r="N14" s="277">
        <f>N18/496*B14</f>
        <v>1653.225806451613</v>
      </c>
      <c r="O14" s="277">
        <f>O18/496*B14</f>
        <v>6391.129032258064</v>
      </c>
      <c r="P14" s="277">
        <f>P18/496*B14</f>
        <v>846.7741935483871</v>
      </c>
      <c r="Q14" s="277">
        <f>Q18/496*B14</f>
        <v>282.258064516129</v>
      </c>
      <c r="R14" s="277">
        <f t="shared" si="0"/>
        <v>200483.38790322584</v>
      </c>
      <c r="S14" s="277">
        <f t="shared" si="1"/>
        <v>100241.69395161292</v>
      </c>
      <c r="T14" s="276"/>
    </row>
    <row r="15" spans="1:20" s="273" customFormat="1" ht="24" hidden="1">
      <c r="A15" s="293" t="s">
        <v>564</v>
      </c>
      <c r="B15" s="282">
        <v>201</v>
      </c>
      <c r="C15" s="276" t="s">
        <v>477</v>
      </c>
      <c r="D15" s="277">
        <f>D18/496*B15</f>
        <v>13750436.745967744</v>
      </c>
      <c r="E15" s="277">
        <f>E18/496*B15</f>
        <v>1041412.6899193549</v>
      </c>
      <c r="F15" s="277">
        <f>F18/496*B15</f>
        <v>688100.806451613</v>
      </c>
      <c r="G15" s="277">
        <f>G18/496*B15</f>
        <v>2654172.580645161</v>
      </c>
      <c r="H15" s="277">
        <f>H18/496*B15</f>
        <v>1809.405241935484</v>
      </c>
      <c r="I15" s="277">
        <f>I18/504*B15</f>
        <v>0</v>
      </c>
      <c r="J15" s="277">
        <f>J18/496*B15</f>
        <v>176700.47782258064</v>
      </c>
      <c r="K15" s="277">
        <f>K18/496*B15</f>
        <v>881779.7056451613</v>
      </c>
      <c r="L15" s="277">
        <f>L18/474*B15</f>
        <v>0</v>
      </c>
      <c r="M15" s="277">
        <f>M18/496*B15</f>
        <v>32242.66935483871</v>
      </c>
      <c r="N15" s="277">
        <f>N18/496*B15</f>
        <v>166149.1935483871</v>
      </c>
      <c r="O15" s="277">
        <f>O18/496*B15</f>
        <v>642308.4677419355</v>
      </c>
      <c r="P15" s="277">
        <f>P18/496*B15</f>
        <v>85100.8064516129</v>
      </c>
      <c r="Q15" s="277">
        <f>Q18/496*B15</f>
        <v>28366.935483870966</v>
      </c>
      <c r="R15" s="277">
        <f t="shared" si="0"/>
        <v>20148580.484274194</v>
      </c>
      <c r="S15" s="277">
        <f t="shared" si="1"/>
        <v>100241.6939516129</v>
      </c>
      <c r="T15" s="276"/>
    </row>
    <row r="16" spans="1:20" s="273" customFormat="1" ht="36" hidden="1">
      <c r="A16" s="293" t="s">
        <v>565</v>
      </c>
      <c r="B16" s="282">
        <v>38</v>
      </c>
      <c r="C16" s="276" t="s">
        <v>477</v>
      </c>
      <c r="D16" s="277">
        <f>D18/496*B16</f>
        <v>2599585.056451613</v>
      </c>
      <c r="E16" s="277">
        <f>E18/496*B16</f>
        <v>196883.99112903228</v>
      </c>
      <c r="F16" s="277">
        <f>F18/496*B16</f>
        <v>130088.70967741936</v>
      </c>
      <c r="G16" s="277">
        <f>G18/496*B16</f>
        <v>501783.8709677419</v>
      </c>
      <c r="H16" s="277">
        <f>H18/496*B16</f>
        <v>342.0766129032258</v>
      </c>
      <c r="I16" s="277">
        <f>I18/504*B16</f>
        <v>0</v>
      </c>
      <c r="J16" s="277">
        <f>J18/496*B16</f>
        <v>33406.06048387097</v>
      </c>
      <c r="K16" s="277">
        <f>K18/496*B16</f>
        <v>166704.62096774194</v>
      </c>
      <c r="L16" s="277">
        <f>L18/474*B16</f>
        <v>0</v>
      </c>
      <c r="M16" s="277">
        <f>M18/496*B16</f>
        <v>6095.629032258064</v>
      </c>
      <c r="N16" s="277">
        <f>N18/496*B16</f>
        <v>31411.290322580644</v>
      </c>
      <c r="O16" s="277">
        <f>O18/496*B16</f>
        <v>121431.45161290323</v>
      </c>
      <c r="P16" s="277">
        <f>P18/496*B16</f>
        <v>16088.709677419354</v>
      </c>
      <c r="Q16" s="277">
        <f>Q18/496*B16</f>
        <v>5362.903225806452</v>
      </c>
      <c r="R16" s="277">
        <f t="shared" si="0"/>
        <v>3809184.3701612907</v>
      </c>
      <c r="S16" s="277">
        <f t="shared" si="1"/>
        <v>100241.69395161292</v>
      </c>
      <c r="T16" s="276"/>
    </row>
    <row r="17" spans="1:20" s="273" customFormat="1" ht="36" hidden="1">
      <c r="A17" s="293" t="s">
        <v>566</v>
      </c>
      <c r="B17" s="282">
        <v>22</v>
      </c>
      <c r="C17" s="276" t="s">
        <v>477</v>
      </c>
      <c r="D17" s="277">
        <f>D18/496*B17</f>
        <v>1505022.927419355</v>
      </c>
      <c r="E17" s="277">
        <f>E18/496*B17</f>
        <v>113985.4685483871</v>
      </c>
      <c r="F17" s="277">
        <f>F18/496*B17</f>
        <v>75314.51612903226</v>
      </c>
      <c r="G17" s="277">
        <f>G18/496*B17</f>
        <v>290506.4516129032</v>
      </c>
      <c r="H17" s="277">
        <f>H18/496*B17</f>
        <v>198.04435483870967</v>
      </c>
      <c r="I17" s="277">
        <f>I18/504*B17</f>
        <v>0</v>
      </c>
      <c r="J17" s="277">
        <f>J18/496*B17</f>
        <v>19340.350806451614</v>
      </c>
      <c r="K17" s="277">
        <f>K18/496*B17</f>
        <v>96513.20161290323</v>
      </c>
      <c r="L17" s="277">
        <f>L18/474*B17</f>
        <v>0</v>
      </c>
      <c r="M17" s="277">
        <f>M18/496*B17</f>
        <v>3529.048387096774</v>
      </c>
      <c r="N17" s="277">
        <f>N18/496*B17</f>
        <v>18185.483870967742</v>
      </c>
      <c r="O17" s="277">
        <f>O18/496*B17</f>
        <v>70302.41935483871</v>
      </c>
      <c r="P17" s="277">
        <f>P18/496*B17</f>
        <v>9314.516129032258</v>
      </c>
      <c r="Q17" s="277">
        <f>Q18/496*B17</f>
        <v>3104.8387096774195</v>
      </c>
      <c r="R17" s="277">
        <f t="shared" si="0"/>
        <v>2205317.266935484</v>
      </c>
      <c r="S17" s="277">
        <f t="shared" si="1"/>
        <v>100241.6939516129</v>
      </c>
      <c r="T17" s="276"/>
    </row>
    <row r="18" spans="1:20" s="273" customFormat="1" ht="21" customHeight="1" hidden="1">
      <c r="A18" s="278" t="s">
        <v>478</v>
      </c>
      <c r="B18" s="279"/>
      <c r="C18" s="279"/>
      <c r="D18" s="280">
        <v>33931426</v>
      </c>
      <c r="E18" s="280">
        <v>2569854.2</v>
      </c>
      <c r="F18" s="280">
        <v>1698000</v>
      </c>
      <c r="G18" s="280">
        <v>6549600</v>
      </c>
      <c r="H18" s="280">
        <v>4465</v>
      </c>
      <c r="I18" s="280">
        <f>'Раздел 1. Поступления и выплаты'!E73</f>
        <v>0</v>
      </c>
      <c r="J18" s="280">
        <v>436037</v>
      </c>
      <c r="K18" s="280">
        <v>2175934</v>
      </c>
      <c r="L18" s="280">
        <f>'Раздел 1. Поступления и выплаты'!E48</f>
        <v>0</v>
      </c>
      <c r="M18" s="280">
        <v>79564</v>
      </c>
      <c r="N18" s="280">
        <v>410000</v>
      </c>
      <c r="O18" s="280">
        <v>1585000</v>
      </c>
      <c r="P18" s="280">
        <v>210000</v>
      </c>
      <c r="Q18" s="280">
        <v>70000</v>
      </c>
      <c r="R18" s="281">
        <f>SUM(R11:R17)</f>
        <v>49719880.199999996</v>
      </c>
      <c r="S18" s="279"/>
      <c r="T18" s="279">
        <f>SUM(T11:T17)</f>
        <v>0</v>
      </c>
    </row>
    <row r="19" spans="1:20" s="273" customFormat="1" ht="24.75" customHeight="1">
      <c r="A19" s="497" t="s">
        <v>662</v>
      </c>
      <c r="B19" s="497"/>
      <c r="C19" s="497"/>
      <c r="D19" s="497"/>
      <c r="E19" s="497"/>
      <c r="F19" s="497"/>
      <c r="G19" s="497"/>
      <c r="H19" s="497"/>
      <c r="I19" s="497"/>
      <c r="J19" s="497"/>
      <c r="K19" s="497"/>
      <c r="L19" s="497"/>
      <c r="M19" s="497"/>
      <c r="N19" s="497"/>
      <c r="O19" s="497"/>
      <c r="P19" s="497"/>
      <c r="Q19" s="497"/>
      <c r="R19" s="497"/>
      <c r="S19" s="497"/>
      <c r="T19" s="497"/>
    </row>
    <row r="20" spans="1:20" s="326" customFormat="1" ht="42.75" customHeight="1">
      <c r="A20" s="452" t="s">
        <v>845</v>
      </c>
      <c r="B20" s="282">
        <v>202</v>
      </c>
      <c r="C20" s="282" t="s">
        <v>477</v>
      </c>
      <c r="D20" s="455">
        <f>(D31)/503*B20+0.01</f>
        <v>19316741.958310142</v>
      </c>
      <c r="E20" s="455">
        <f>E31/503*B20-0.01</f>
        <v>1603213.3498409542</v>
      </c>
      <c r="F20" s="455">
        <f>F31/503*B20-0.01</f>
        <v>736516.88860835</v>
      </c>
      <c r="G20" s="455">
        <f>(G31-0)/503*B20-0.01</f>
        <v>3475002.3774448517</v>
      </c>
      <c r="H20" s="455">
        <f>H31/503*B20</f>
        <v>803.1809145129225</v>
      </c>
      <c r="I20" s="455">
        <f>I31/504*B20</f>
        <v>0</v>
      </c>
      <c r="J20" s="455">
        <f>J31/503*B20-0.01</f>
        <v>240954.26435387673</v>
      </c>
      <c r="K20" s="455">
        <f>K31/503*B20-0.01</f>
        <v>1003976.133141153</v>
      </c>
      <c r="L20" s="455">
        <f>L31/503*B20</f>
        <v>0</v>
      </c>
      <c r="M20" s="455">
        <f>M31/503*B20-0.02</f>
        <v>52206.73944333996</v>
      </c>
      <c r="N20" s="455">
        <f>N31/503*B20+0.01</f>
        <v>133058.96817097414</v>
      </c>
      <c r="O20" s="455">
        <f>O31/503*B20+0.01</f>
        <v>585946.164831014</v>
      </c>
      <c r="P20" s="455">
        <f>P31/503*B20+0.01</f>
        <v>59250.26045725646</v>
      </c>
      <c r="Q20" s="455">
        <f>Q31/503*B20+0.01</f>
        <v>24925.56105367793</v>
      </c>
      <c r="R20" s="455">
        <f aca="true" t="shared" si="2" ref="R20:R26">SUM(D20:Q20)</f>
        <v>27232595.8465701</v>
      </c>
      <c r="S20" s="455">
        <f aca="true" t="shared" si="3" ref="S20:S30">R20/B20</f>
        <v>134814.83092361435</v>
      </c>
      <c r="T20" s="282"/>
    </row>
    <row r="21" spans="1:20" s="326" customFormat="1" ht="93" customHeight="1">
      <c r="A21" s="452" t="s">
        <v>846</v>
      </c>
      <c r="B21" s="282">
        <v>19</v>
      </c>
      <c r="C21" s="282" t="s">
        <v>477</v>
      </c>
      <c r="D21" s="455">
        <f>(D31)/503*B21</f>
        <v>1816921.2723658052</v>
      </c>
      <c r="E21" s="455">
        <f>E31/503*B21</f>
        <v>150797.296222664</v>
      </c>
      <c r="F21" s="455">
        <f>F31/503*B21</f>
        <v>69276.34194831015</v>
      </c>
      <c r="G21" s="455">
        <f>(G31-0)/503*B21</f>
        <v>326856.6602052088</v>
      </c>
      <c r="H21" s="455">
        <f>H31/503*B21</f>
        <v>75.54671968190856</v>
      </c>
      <c r="I21" s="455">
        <f>I31/504*B21</f>
        <v>0</v>
      </c>
      <c r="J21" s="455">
        <f>J31/503*B21</f>
        <v>22664.015904572567</v>
      </c>
      <c r="K21" s="455">
        <f>K31/503*B21</f>
        <v>94433.39960238569</v>
      </c>
      <c r="L21" s="455">
        <f>L31/503*B21</f>
        <v>0</v>
      </c>
      <c r="M21" s="455">
        <f>M31/503*B21</f>
        <v>4910.536779324055</v>
      </c>
      <c r="N21" s="455">
        <f>N31/503*B21</f>
        <v>12515.446560636181</v>
      </c>
      <c r="O21" s="455">
        <f>O31/503*B21</f>
        <v>55113.74723658052</v>
      </c>
      <c r="P21" s="455">
        <f>P31/503*B21</f>
        <v>5573.0433598409545</v>
      </c>
      <c r="Q21" s="455">
        <f>Q31/503*B21</f>
        <v>2344.4825248508946</v>
      </c>
      <c r="R21" s="455">
        <f>SUM(D21:Q21)-0.02</f>
        <v>2561481.769429861</v>
      </c>
      <c r="S21" s="455">
        <f t="shared" si="3"/>
        <v>134814.8299699927</v>
      </c>
      <c r="T21" s="282"/>
    </row>
    <row r="22" spans="1:20" s="326" customFormat="1" ht="58.5" customHeight="1">
      <c r="A22" s="452" t="s">
        <v>847</v>
      </c>
      <c r="B22" s="282">
        <v>2</v>
      </c>
      <c r="C22" s="282" t="s">
        <v>477</v>
      </c>
      <c r="D22" s="455">
        <f>(D31)/503*B22</f>
        <v>191254.87077534792</v>
      </c>
      <c r="E22" s="455">
        <f>E31/503*B22</f>
        <v>15873.399602385685</v>
      </c>
      <c r="F22" s="455">
        <f>F31/503*B22</f>
        <v>7292.246520874752</v>
      </c>
      <c r="G22" s="455">
        <f>(G31-0)/503*B22</f>
        <v>34405.96423212724</v>
      </c>
      <c r="H22" s="455">
        <f>H31/503*B22</f>
        <v>7.952286282306163</v>
      </c>
      <c r="I22" s="455">
        <f>I31/504*B22</f>
        <v>0</v>
      </c>
      <c r="J22" s="455">
        <f>J31/503*B22</f>
        <v>2385.685884691849</v>
      </c>
      <c r="K22" s="455">
        <f>K31/503*B22</f>
        <v>9940.357852882704</v>
      </c>
      <c r="L22" s="455">
        <f>L31/503*B22</f>
        <v>0</v>
      </c>
      <c r="M22" s="455">
        <f>M31/503*B22</f>
        <v>516.8986083499005</v>
      </c>
      <c r="N22" s="455">
        <f>N31/503*B22</f>
        <v>1317.4154274353875</v>
      </c>
      <c r="O22" s="455">
        <f>O31/503*B22</f>
        <v>5801.447077534792</v>
      </c>
      <c r="P22" s="455">
        <f>P31/503*B22</f>
        <v>586.6361431411531</v>
      </c>
      <c r="Q22" s="455">
        <f>Q31/503*B22</f>
        <v>246.787634194831</v>
      </c>
      <c r="R22" s="455">
        <f t="shared" si="2"/>
        <v>269629.6620452485</v>
      </c>
      <c r="S22" s="455">
        <f t="shared" si="3"/>
        <v>134814.83102262425</v>
      </c>
      <c r="T22" s="282"/>
    </row>
    <row r="23" spans="1:20" s="326" customFormat="1" ht="83.25" customHeight="1">
      <c r="A23" s="452" t="s">
        <v>848</v>
      </c>
      <c r="B23" s="282">
        <v>1</v>
      </c>
      <c r="C23" s="282" t="s">
        <v>477</v>
      </c>
      <c r="D23" s="455">
        <f>(D31)/503*B23</f>
        <v>95627.43538767396</v>
      </c>
      <c r="E23" s="455">
        <f>E31/503*B23</f>
        <v>7936.699801192843</v>
      </c>
      <c r="F23" s="455">
        <f>F31/503*B23</f>
        <v>3646.123260437376</v>
      </c>
      <c r="G23" s="455">
        <f>(G31-0)/503*B23</f>
        <v>17202.98211606362</v>
      </c>
      <c r="H23" s="455">
        <f>H31/503*B23</f>
        <v>3.9761431411530817</v>
      </c>
      <c r="I23" s="455">
        <f>I31/504*B23</f>
        <v>0</v>
      </c>
      <c r="J23" s="455">
        <f>J31/503*B23</f>
        <v>1192.8429423459245</v>
      </c>
      <c r="K23" s="455">
        <f>K31/503*B23</f>
        <v>4970.178926441352</v>
      </c>
      <c r="L23" s="455">
        <f>L31/503*B23</f>
        <v>0</v>
      </c>
      <c r="M23" s="455">
        <f>M31/503*B23</f>
        <v>258.44930417495027</v>
      </c>
      <c r="N23" s="455">
        <f>N31/503*B23</f>
        <v>658.7077137176938</v>
      </c>
      <c r="O23" s="455">
        <f>O31/503*B23</f>
        <v>2900.723538767396</v>
      </c>
      <c r="P23" s="455">
        <f>P31/503*B23</f>
        <v>293.31807157057654</v>
      </c>
      <c r="Q23" s="455">
        <f>Q31/503*B23</f>
        <v>123.3938170974155</v>
      </c>
      <c r="R23" s="455">
        <f t="shared" si="2"/>
        <v>134814.83102262425</v>
      </c>
      <c r="S23" s="455">
        <f t="shared" si="3"/>
        <v>134814.83102262425</v>
      </c>
      <c r="T23" s="282"/>
    </row>
    <row r="24" spans="1:20" s="326" customFormat="1" ht="86.25" customHeight="1">
      <c r="A24" s="452" t="s">
        <v>848</v>
      </c>
      <c r="B24" s="282">
        <v>1</v>
      </c>
      <c r="C24" s="282" t="s">
        <v>477</v>
      </c>
      <c r="D24" s="455">
        <f>(D31)/503*B24</f>
        <v>95627.43538767396</v>
      </c>
      <c r="E24" s="455">
        <f>E31/503*B24</f>
        <v>7936.699801192843</v>
      </c>
      <c r="F24" s="455">
        <f>F31/503*B24</f>
        <v>3646.123260437376</v>
      </c>
      <c r="G24" s="455">
        <f>(G31-0)/503*B24</f>
        <v>17202.98211606362</v>
      </c>
      <c r="H24" s="455">
        <f>H31/503*B24</f>
        <v>3.9761431411530817</v>
      </c>
      <c r="I24" s="455" t="e">
        <f>#REF!/504*B24</f>
        <v>#REF!</v>
      </c>
      <c r="J24" s="455">
        <f>J31/503*B24</f>
        <v>1192.8429423459245</v>
      </c>
      <c r="K24" s="455">
        <f>K31/503*B24</f>
        <v>4970.178926441352</v>
      </c>
      <c r="L24" s="455">
        <f>L31/503*B24</f>
        <v>0</v>
      </c>
      <c r="M24" s="455">
        <f>M31/503*B24</f>
        <v>258.44930417495027</v>
      </c>
      <c r="N24" s="455">
        <f>N31/503*B24</f>
        <v>658.7077137176938</v>
      </c>
      <c r="O24" s="455">
        <f>O31/503*B24</f>
        <v>2900.723538767396</v>
      </c>
      <c r="P24" s="455">
        <f>P31/503*B24</f>
        <v>293.31807157057654</v>
      </c>
      <c r="Q24" s="455">
        <f>Q31/503*B24</f>
        <v>123.3938170974155</v>
      </c>
      <c r="R24" s="455">
        <f>D24+E24+F24+G24+H24+J24+K24+L24+M24+N24+O24+P24+Q24</f>
        <v>134814.83102262425</v>
      </c>
      <c r="S24" s="455">
        <f>R24/B24</f>
        <v>134814.83102262425</v>
      </c>
      <c r="T24" s="282"/>
    </row>
    <row r="25" spans="1:20" s="326" customFormat="1" ht="24">
      <c r="A25" s="452" t="s">
        <v>849</v>
      </c>
      <c r="B25" s="282">
        <v>209</v>
      </c>
      <c r="C25" s="282" t="s">
        <v>477</v>
      </c>
      <c r="D25" s="455">
        <f>(D31)/503*B25</f>
        <v>19986133.99602386</v>
      </c>
      <c r="E25" s="455">
        <f>E31/503*B25</f>
        <v>1658770.2584493042</v>
      </c>
      <c r="F25" s="455">
        <f>F31/503*B25</f>
        <v>762039.7614314116</v>
      </c>
      <c r="G25" s="455">
        <f>(G31-0)/503*B25</f>
        <v>3595423.2622572966</v>
      </c>
      <c r="H25" s="455">
        <f>H31/503*B25</f>
        <v>831.013916500994</v>
      </c>
      <c r="I25" s="455">
        <f>I31/504*B25</f>
        <v>0</v>
      </c>
      <c r="J25" s="455">
        <f>J31/503*B25</f>
        <v>249304.1749502982</v>
      </c>
      <c r="K25" s="455">
        <f>K31/503*B25</f>
        <v>1038767.3956262425</v>
      </c>
      <c r="L25" s="455">
        <f>L31/503*B25</f>
        <v>0</v>
      </c>
      <c r="M25" s="455">
        <f>M31/503*B25</f>
        <v>54015.90457256461</v>
      </c>
      <c r="N25" s="455">
        <f>N31/503*B25</f>
        <v>137669.912166998</v>
      </c>
      <c r="O25" s="455">
        <f>O31/503*B25</f>
        <v>606251.2196023858</v>
      </c>
      <c r="P25" s="455">
        <f>P31/503*B25</f>
        <v>61303.476958250496</v>
      </c>
      <c r="Q25" s="455">
        <f>Q31/503*B25</f>
        <v>25789.30777335984</v>
      </c>
      <c r="R25" s="455">
        <f>SUM(D25:Q25)+0.02</f>
        <v>28176299.70372847</v>
      </c>
      <c r="S25" s="455">
        <f t="shared" si="3"/>
        <v>134814.83111831805</v>
      </c>
      <c r="T25" s="282"/>
    </row>
    <row r="26" spans="1:20" s="326" customFormat="1" ht="60">
      <c r="A26" s="452" t="s">
        <v>850</v>
      </c>
      <c r="B26" s="282">
        <v>45</v>
      </c>
      <c r="C26" s="282" t="s">
        <v>477</v>
      </c>
      <c r="D26" s="455">
        <f>(D31)/503*B26</f>
        <v>4303234.592445328</v>
      </c>
      <c r="E26" s="455">
        <f>E31/503*B26</f>
        <v>357151.4910536779</v>
      </c>
      <c r="F26" s="455">
        <f>F31/503*B26</f>
        <v>164075.5467196819</v>
      </c>
      <c r="G26" s="455">
        <f>(G31-0)/503*B26</f>
        <v>774134.1952228629</v>
      </c>
      <c r="H26" s="455">
        <f>H31/503*B26</f>
        <v>178.92644135188868</v>
      </c>
      <c r="I26" s="455">
        <f>I31/554*E26</f>
        <v>0</v>
      </c>
      <c r="J26" s="455">
        <f>J31/503*B26</f>
        <v>53677.9324055666</v>
      </c>
      <c r="K26" s="455">
        <f>K31/503*B26</f>
        <v>223658.05168986085</v>
      </c>
      <c r="L26" s="455">
        <f>L31/503*B26</f>
        <v>0</v>
      </c>
      <c r="M26" s="455">
        <f>M31/503*B26</f>
        <v>11630.218687872763</v>
      </c>
      <c r="N26" s="455">
        <f>N31/503*B26</f>
        <v>29641.84711729622</v>
      </c>
      <c r="O26" s="455">
        <f>O31/503*B26</f>
        <v>130532.55924453282</v>
      </c>
      <c r="P26" s="455">
        <f>P31/503*B26</f>
        <v>13199.313220675944</v>
      </c>
      <c r="Q26" s="455">
        <f>Q31/503*B26</f>
        <v>5552.721769383697</v>
      </c>
      <c r="R26" s="455">
        <f t="shared" si="2"/>
        <v>6066667.396018092</v>
      </c>
      <c r="S26" s="455">
        <f t="shared" si="3"/>
        <v>134814.83102262425</v>
      </c>
      <c r="T26" s="282"/>
    </row>
    <row r="27" spans="1:20" s="326" customFormat="1" ht="48">
      <c r="A27" s="452" t="s">
        <v>922</v>
      </c>
      <c r="B27" s="282">
        <v>1</v>
      </c>
      <c r="C27" s="282" t="s">
        <v>477</v>
      </c>
      <c r="D27" s="455">
        <f>(D31)/503*B27</f>
        <v>95627.43538767396</v>
      </c>
      <c r="E27" s="455">
        <f>E31/503*B27</f>
        <v>7936.699801192843</v>
      </c>
      <c r="F27" s="455">
        <f>F31/503*B27</f>
        <v>3646.123260437376</v>
      </c>
      <c r="G27" s="455">
        <f>(G31-0)/503*B27</f>
        <v>17202.98211606362</v>
      </c>
      <c r="H27" s="455">
        <f>H31/503*B27</f>
        <v>3.9761431411530817</v>
      </c>
      <c r="I27" s="455">
        <f>I32/554*E27</f>
        <v>0</v>
      </c>
      <c r="J27" s="455">
        <f>J31/503*B27</f>
        <v>1192.8429423459245</v>
      </c>
      <c r="K27" s="455">
        <f>K31/503*B27</f>
        <v>4970.178926441352</v>
      </c>
      <c r="L27" s="455">
        <f>L31/503*B27</f>
        <v>0</v>
      </c>
      <c r="M27" s="455">
        <f>M31/503*B27</f>
        <v>258.44930417495027</v>
      </c>
      <c r="N27" s="455">
        <f>N31/503*B27</f>
        <v>658.7077137176938</v>
      </c>
      <c r="O27" s="455">
        <f>O31/503*B27</f>
        <v>2900.723538767396</v>
      </c>
      <c r="P27" s="455">
        <f>P31/503*B27</f>
        <v>293.31807157057654</v>
      </c>
      <c r="Q27" s="455">
        <f>Q31/503*B27</f>
        <v>123.3938170974155</v>
      </c>
      <c r="R27" s="455">
        <f>SUM(D27:Q27)</f>
        <v>134814.83102262425</v>
      </c>
      <c r="S27" s="455">
        <f>R27/B27</f>
        <v>134814.83102262425</v>
      </c>
      <c r="T27" s="282"/>
    </row>
    <row r="28" spans="1:20" s="326" customFormat="1" ht="84">
      <c r="A28" s="452" t="s">
        <v>923</v>
      </c>
      <c r="B28" s="282">
        <v>2</v>
      </c>
      <c r="C28" s="282" t="s">
        <v>477</v>
      </c>
      <c r="D28" s="455">
        <f>(D31)/503*B28</f>
        <v>191254.87077534792</v>
      </c>
      <c r="E28" s="455">
        <f>E31/503*B28</f>
        <v>15873.399602385685</v>
      </c>
      <c r="F28" s="455">
        <f>F31/503*B28</f>
        <v>7292.246520874752</v>
      </c>
      <c r="G28" s="455">
        <f>(G31-0)/503*B28</f>
        <v>34405.96423212724</v>
      </c>
      <c r="H28" s="455">
        <f>H31/503*B28</f>
        <v>7.952286282306163</v>
      </c>
      <c r="I28" s="455" t="e">
        <f>#REF!/554*E28</f>
        <v>#REF!</v>
      </c>
      <c r="J28" s="455">
        <f>J31/503*B28</f>
        <v>2385.685884691849</v>
      </c>
      <c r="K28" s="455">
        <f>K31/503*B28</f>
        <v>9940.357852882704</v>
      </c>
      <c r="L28" s="455">
        <f>L31/503*B28</f>
        <v>0</v>
      </c>
      <c r="M28" s="455">
        <f>M31/503*B28</f>
        <v>516.8986083499005</v>
      </c>
      <c r="N28" s="455">
        <f>N31/503*B28</f>
        <v>1317.4154274353875</v>
      </c>
      <c r="O28" s="455">
        <f>O31/503*B28</f>
        <v>5801.447077534792</v>
      </c>
      <c r="P28" s="455">
        <f>P31/503*B28</f>
        <v>586.6361431411531</v>
      </c>
      <c r="Q28" s="455">
        <f>Q31/503*B28</f>
        <v>246.787634194831</v>
      </c>
      <c r="R28" s="455">
        <f>D28+E28+F28+G28+H28+J28+K28+L28+M28+N28+O28+P28+Q28</f>
        <v>269629.6620452485</v>
      </c>
      <c r="S28" s="455">
        <f>R28/B28</f>
        <v>134814.83102262425</v>
      </c>
      <c r="T28" s="282"/>
    </row>
    <row r="29" spans="1:20" s="326" customFormat="1" ht="99.75" customHeight="1">
      <c r="A29" s="452" t="s">
        <v>989</v>
      </c>
      <c r="B29" s="282">
        <v>1</v>
      </c>
      <c r="C29" s="282" t="s">
        <v>477</v>
      </c>
      <c r="D29" s="455">
        <f>(D31)/503*B29</f>
        <v>95627.43538767396</v>
      </c>
      <c r="E29" s="455">
        <f>E31/503*B29</f>
        <v>7936.699801192843</v>
      </c>
      <c r="F29" s="455">
        <f>F31/503*B29</f>
        <v>3646.123260437376</v>
      </c>
      <c r="G29" s="455">
        <f>(G31)/503*B29</f>
        <v>17202.98211606362</v>
      </c>
      <c r="H29" s="455">
        <f>H31/503*B29</f>
        <v>3.9761431411530817</v>
      </c>
      <c r="I29" s="455">
        <f>I32/554*G29</f>
        <v>0</v>
      </c>
      <c r="J29" s="455">
        <f>J31/503*B29</f>
        <v>1192.8429423459245</v>
      </c>
      <c r="K29" s="455">
        <f>K31/503*B29</f>
        <v>4970.178926441352</v>
      </c>
      <c r="L29" s="455">
        <f>L31/503*B29</f>
        <v>0</v>
      </c>
      <c r="M29" s="455">
        <f>M31/503*B29</f>
        <v>258.44930417495027</v>
      </c>
      <c r="N29" s="455">
        <f>N31/503*B29</f>
        <v>658.7077137176938</v>
      </c>
      <c r="O29" s="455">
        <f>O31/503*B29</f>
        <v>2900.723538767396</v>
      </c>
      <c r="P29" s="455">
        <f>P31/503*B29</f>
        <v>293.31807157057654</v>
      </c>
      <c r="Q29" s="455">
        <f>Q31/503*B29</f>
        <v>123.3938170974155</v>
      </c>
      <c r="R29" s="455">
        <f>SUM(D29:Q29)</f>
        <v>134814.83102262425</v>
      </c>
      <c r="S29" s="455">
        <f>R29/B29</f>
        <v>134814.83102262425</v>
      </c>
      <c r="T29" s="282"/>
    </row>
    <row r="30" spans="1:20" s="326" customFormat="1" ht="99.75" customHeight="1">
      <c r="A30" s="452" t="s">
        <v>851</v>
      </c>
      <c r="B30" s="282">
        <v>20</v>
      </c>
      <c r="C30" s="282" t="s">
        <v>477</v>
      </c>
      <c r="D30" s="455">
        <f>(D31)/503*B30</f>
        <v>1912548.7077534792</v>
      </c>
      <c r="E30" s="455">
        <f>E31/503*B30</f>
        <v>158733.99602385686</v>
      </c>
      <c r="F30" s="455">
        <f>F31/503*B30</f>
        <v>72922.46520874751</v>
      </c>
      <c r="G30" s="455">
        <f>(G31-0)/503*B30</f>
        <v>344059.6423212724</v>
      </c>
      <c r="H30" s="455">
        <f>H31/503*B30</f>
        <v>79.52286282306163</v>
      </c>
      <c r="I30" s="455">
        <f>I31/554*G30</f>
        <v>0</v>
      </c>
      <c r="J30" s="455">
        <f>J31/503*B30</f>
        <v>23856.85884691849</v>
      </c>
      <c r="K30" s="455">
        <f>K31/503*B30</f>
        <v>99403.57852882704</v>
      </c>
      <c r="L30" s="455">
        <f>L31/503*B30</f>
        <v>0</v>
      </c>
      <c r="M30" s="455">
        <f>M31/503*B30</f>
        <v>5168.986083499005</v>
      </c>
      <c r="N30" s="455">
        <f>N31/503*B30</f>
        <v>13174.154274353876</v>
      </c>
      <c r="O30" s="455">
        <f>O31/503*B30</f>
        <v>58014.470775347916</v>
      </c>
      <c r="P30" s="455">
        <f>P31/503*B30</f>
        <v>5866.361431411531</v>
      </c>
      <c r="Q30" s="455">
        <f>Q31/503*B30</f>
        <v>2467.8763419483103</v>
      </c>
      <c r="R30" s="455">
        <f>SUM(D30:Q30)+0.02</f>
        <v>2696296.6404524855</v>
      </c>
      <c r="S30" s="455">
        <f t="shared" si="3"/>
        <v>134814.83202262426</v>
      </c>
      <c r="T30" s="282"/>
    </row>
    <row r="31" spans="1:20" s="273" customFormat="1" ht="21" customHeight="1">
      <c r="A31" s="456" t="s">
        <v>478</v>
      </c>
      <c r="B31" s="457"/>
      <c r="C31" s="457"/>
      <c r="D31" s="281">
        <f>'Раздел 1. Поступления и выплаты'!F51</f>
        <v>48100600</v>
      </c>
      <c r="E31" s="281">
        <f>'Областной бюджет'!G98</f>
        <v>3992160</v>
      </c>
      <c r="F31" s="281">
        <f>'Областной бюджет'!F92+'Областной бюджет'!G96+'Областной бюджет'!G97+'Областной бюджет'!G134+'Областной бюджет'!G176+'Областной бюджет'!G187+'Областной бюджет'!G193</f>
        <v>1834000</v>
      </c>
      <c r="G31" s="281">
        <f>'Местный бюджет'!H19+'Местный бюджет'!G25+'Местный бюджет'!G42</f>
        <v>8653100.00438</v>
      </c>
      <c r="H31" s="281">
        <f>'Раздел 1. Поступления и выплаты'!E84</f>
        <v>2000</v>
      </c>
      <c r="I31" s="281">
        <f>'Раздел 1. Поступления и выплаты'!E93</f>
        <v>0</v>
      </c>
      <c r="J31" s="281">
        <f>'Раздел 1. Поступления и выплаты'!E89</f>
        <v>600000</v>
      </c>
      <c r="K31" s="281">
        <f>'Раздел 1. Поступления и выплаты'!E90</f>
        <v>2500000</v>
      </c>
      <c r="L31" s="281">
        <f>'Раздел 1. Поступления и выплаты'!E68</f>
        <v>0</v>
      </c>
      <c r="M31" s="281">
        <f>'Местный бюджет'!G186+'Местный бюджет'!G193+'Местный бюджет'!G199+'Местный бюджет'!G217+'Местный бюджет'!G231+'Местный бюджет'!G250+'Местный бюджет'!G263</f>
        <v>130000</v>
      </c>
      <c r="N31" s="281">
        <f>'Местный бюджет'!G82+'Местный бюджет'!G83</f>
        <v>331329.98</v>
      </c>
      <c r="O31" s="281">
        <f>'Местный бюджет'!G84+'Местный бюджет'!G86+'Местный бюджет'!G87</f>
        <v>1459063.9400000002</v>
      </c>
      <c r="P31" s="281">
        <f>'Местный бюджет'!G90+'Местный бюджет'!G92</f>
        <v>147538.99</v>
      </c>
      <c r="Q31" s="281">
        <f>'Местный бюджет'!G94</f>
        <v>62067.09</v>
      </c>
      <c r="R31" s="281">
        <f>R20+R21+R22+R23+R25+R26+R30+R24+R27+R28+R29</f>
        <v>67811860.00438</v>
      </c>
      <c r="S31" s="457"/>
      <c r="T31" s="457">
        <f>SUM(T20:T30)</f>
        <v>0</v>
      </c>
    </row>
    <row r="32" spans="1:20" s="273" customFormat="1" ht="24.75" customHeight="1">
      <c r="A32" s="484" t="s">
        <v>811</v>
      </c>
      <c r="B32" s="484"/>
      <c r="C32" s="484"/>
      <c r="D32" s="484"/>
      <c r="E32" s="484"/>
      <c r="F32" s="484"/>
      <c r="G32" s="484"/>
      <c r="H32" s="484"/>
      <c r="I32" s="484"/>
      <c r="J32" s="484"/>
      <c r="K32" s="484"/>
      <c r="L32" s="484"/>
      <c r="M32" s="484"/>
      <c r="N32" s="484"/>
      <c r="O32" s="484"/>
      <c r="P32" s="484"/>
      <c r="Q32" s="484"/>
      <c r="R32" s="484"/>
      <c r="S32" s="484"/>
      <c r="T32" s="484"/>
    </row>
    <row r="33" spans="1:20" s="326" customFormat="1" ht="42.75" customHeight="1">
      <c r="A33" s="452" t="s">
        <v>845</v>
      </c>
      <c r="B33" s="282">
        <v>202</v>
      </c>
      <c r="C33" s="282" t="s">
        <v>477</v>
      </c>
      <c r="D33" s="455">
        <f>(D44)/503*B33+0.01</f>
        <v>20593879.93047714</v>
      </c>
      <c r="E33" s="455">
        <f>E44/503*B33-0.01</f>
        <v>1667339.3140556659</v>
      </c>
      <c r="F33" s="455">
        <f>F44/503*B33-0.01</f>
        <v>765832.9919880716</v>
      </c>
      <c r="G33" s="455">
        <f>(G44-0)/503*B33-0.01</f>
        <v>3643946.6633416303</v>
      </c>
      <c r="H33" s="455">
        <f>H44/503*B33</f>
        <v>803.1809145129225</v>
      </c>
      <c r="I33" s="455">
        <f>I44/504*B33</f>
        <v>0</v>
      </c>
      <c r="J33" s="455">
        <f>J44/503*B33-0.01</f>
        <v>221276.33194831014</v>
      </c>
      <c r="K33" s="455">
        <f>K44/503*B33-0.01</f>
        <v>945745.5168389662</v>
      </c>
      <c r="L33" s="455">
        <f>L44/503*B33</f>
        <v>0</v>
      </c>
      <c r="M33" s="455">
        <f>M44/503*B33-0.02</f>
        <v>7313.745407554672</v>
      </c>
      <c r="N33" s="455">
        <f>N44/503*B33+0.01</f>
        <v>175495.03982107356</v>
      </c>
      <c r="O33" s="455">
        <f>O44/503*B33+0.01</f>
        <v>552186.8887276342</v>
      </c>
      <c r="P33" s="455">
        <f>P44/503*B33+0.01</f>
        <v>55218.69787276343</v>
      </c>
      <c r="Q33" s="455">
        <f>Q44/503*B33+0.01</f>
        <v>20280.32809145129</v>
      </c>
      <c r="R33" s="455">
        <f>SUM(D33:Q33)</f>
        <v>28649318.629484773</v>
      </c>
      <c r="S33" s="455">
        <f aca="true" t="shared" si="4" ref="S33:S43">R33/B33</f>
        <v>141828.3100469543</v>
      </c>
      <c r="T33" s="282"/>
    </row>
    <row r="34" spans="1:20" s="326" customFormat="1" ht="93" customHeight="1">
      <c r="A34" s="452" t="s">
        <v>846</v>
      </c>
      <c r="B34" s="282">
        <v>19</v>
      </c>
      <c r="C34" s="282" t="s">
        <v>477</v>
      </c>
      <c r="D34" s="455">
        <f>(D44)/503*B34</f>
        <v>1937048.111332008</v>
      </c>
      <c r="E34" s="455">
        <f>E44/503*B34</f>
        <v>156828.94632206758</v>
      </c>
      <c r="F34" s="455">
        <f>F44/503*B34</f>
        <v>72033.79721669981</v>
      </c>
      <c r="G34" s="455">
        <f>(G44-0)/503*B34</f>
        <v>342747.45937371766</v>
      </c>
      <c r="H34" s="455">
        <f>H44/503*B34</f>
        <v>75.54671968190856</v>
      </c>
      <c r="I34" s="455">
        <f>I44/504*B34</f>
        <v>0</v>
      </c>
      <c r="J34" s="455">
        <f>J44/503*B34</f>
        <v>20813.121272365806</v>
      </c>
      <c r="K34" s="455">
        <f>K44/503*B34</f>
        <v>88956.26242544732</v>
      </c>
      <c r="L34" s="455">
        <f>L44/503*B34</f>
        <v>0</v>
      </c>
      <c r="M34" s="455">
        <f>M44/503*B34</f>
        <v>687.9284294234593</v>
      </c>
      <c r="N34" s="455">
        <f>N44/503*B34</f>
        <v>16506.958250497017</v>
      </c>
      <c r="O34" s="455">
        <f>O44/503*B34</f>
        <v>51938.369781312125</v>
      </c>
      <c r="P34" s="455">
        <f>P44/503*B34</f>
        <v>5193.836978131213</v>
      </c>
      <c r="Q34" s="455">
        <f>Q44/503*B34</f>
        <v>1907.5546719681906</v>
      </c>
      <c r="R34" s="455">
        <f>SUM(D34:Q34)-0.02</f>
        <v>2694737.8727733204</v>
      </c>
      <c r="S34" s="455">
        <f t="shared" si="4"/>
        <v>141828.30909333265</v>
      </c>
      <c r="T34" s="282"/>
    </row>
    <row r="35" spans="1:20" s="326" customFormat="1" ht="58.5" customHeight="1">
      <c r="A35" s="452" t="s">
        <v>847</v>
      </c>
      <c r="B35" s="282">
        <v>2</v>
      </c>
      <c r="C35" s="282" t="s">
        <v>477</v>
      </c>
      <c r="D35" s="455">
        <f>(D44)/503*B35</f>
        <v>203899.80119284295</v>
      </c>
      <c r="E35" s="455">
        <f>E44/503*B35</f>
        <v>16508.31013916501</v>
      </c>
      <c r="F35" s="455">
        <f>F44/503*B35</f>
        <v>7582.504970178927</v>
      </c>
      <c r="G35" s="455">
        <f>(G44-0)/503*B35</f>
        <v>36078.679934075546</v>
      </c>
      <c r="H35" s="455">
        <f>H44/503*B35</f>
        <v>7.952286282306163</v>
      </c>
      <c r="I35" s="455">
        <f>I44/504*B35</f>
        <v>0</v>
      </c>
      <c r="J35" s="455">
        <f>J44/503*B35</f>
        <v>2190.854870775348</v>
      </c>
      <c r="K35" s="455">
        <f>K44/503*B35</f>
        <v>9363.817097415507</v>
      </c>
      <c r="L35" s="455">
        <f>L44/503*B35</f>
        <v>0</v>
      </c>
      <c r="M35" s="455">
        <f>M44/503*B35</f>
        <v>72.41351888667992</v>
      </c>
      <c r="N35" s="455">
        <f>N44/503*B35</f>
        <v>1737.5745526838966</v>
      </c>
      <c r="O35" s="455">
        <f>O44/503*B35</f>
        <v>5467.196819085487</v>
      </c>
      <c r="P35" s="455">
        <f>P44/503*B35</f>
        <v>546.7196819085488</v>
      </c>
      <c r="Q35" s="455">
        <f>Q44/503*B35</f>
        <v>200.7952286282306</v>
      </c>
      <c r="R35" s="455">
        <f>SUM(D35:Q35)</f>
        <v>283656.62029192847</v>
      </c>
      <c r="S35" s="455">
        <f t="shared" si="4"/>
        <v>141828.31014596423</v>
      </c>
      <c r="T35" s="282"/>
    </row>
    <row r="36" spans="1:20" s="326" customFormat="1" ht="83.25" customHeight="1">
      <c r="A36" s="452" t="s">
        <v>848</v>
      </c>
      <c r="B36" s="282">
        <v>1</v>
      </c>
      <c r="C36" s="282" t="s">
        <v>477</v>
      </c>
      <c r="D36" s="455">
        <f>(D44)/503*B36</f>
        <v>101949.90059642147</v>
      </c>
      <c r="E36" s="455">
        <f>E44/503*B36</f>
        <v>8254.155069582504</v>
      </c>
      <c r="F36" s="455">
        <f>F44/503*B36</f>
        <v>3791.2524850894633</v>
      </c>
      <c r="G36" s="455">
        <f>(G44-0)/503*B36</f>
        <v>18039.339967037773</v>
      </c>
      <c r="H36" s="455">
        <f>H44/503*B36</f>
        <v>3.9761431411530817</v>
      </c>
      <c r="I36" s="455">
        <f>I44/504*B36</f>
        <v>0</v>
      </c>
      <c r="J36" s="455">
        <f>J44/503*B36</f>
        <v>1095.427435387674</v>
      </c>
      <c r="K36" s="455">
        <f>K44/503*B36</f>
        <v>4681.908548707754</v>
      </c>
      <c r="L36" s="455">
        <f>L44/503*B36</f>
        <v>0</v>
      </c>
      <c r="M36" s="455">
        <f>M44/503*B36</f>
        <v>36.20675944333996</v>
      </c>
      <c r="N36" s="455">
        <f>N44/503*B36</f>
        <v>868.7872763419483</v>
      </c>
      <c r="O36" s="455">
        <f>O44/503*B36</f>
        <v>2733.5984095427434</v>
      </c>
      <c r="P36" s="455">
        <f>P44/503*B36</f>
        <v>273.3598409542744</v>
      </c>
      <c r="Q36" s="455">
        <f>Q44/503*B36</f>
        <v>100.3976143141153</v>
      </c>
      <c r="R36" s="455">
        <f>SUM(D36:Q36)</f>
        <v>141828.31014596423</v>
      </c>
      <c r="S36" s="455">
        <f t="shared" si="4"/>
        <v>141828.31014596423</v>
      </c>
      <c r="T36" s="282"/>
    </row>
    <row r="37" spans="1:20" s="326" customFormat="1" ht="86.25" customHeight="1">
      <c r="A37" s="452" t="s">
        <v>848</v>
      </c>
      <c r="B37" s="282">
        <v>1</v>
      </c>
      <c r="C37" s="282" t="s">
        <v>477</v>
      </c>
      <c r="D37" s="455">
        <f>(D44)/503*B37</f>
        <v>101949.90059642147</v>
      </c>
      <c r="E37" s="455">
        <f>E44/503*B37</f>
        <v>8254.155069582504</v>
      </c>
      <c r="F37" s="455">
        <f>F44/503*B37</f>
        <v>3791.2524850894633</v>
      </c>
      <c r="G37" s="455">
        <f>(G44-0)/503*B37</f>
        <v>18039.339967037773</v>
      </c>
      <c r="H37" s="455">
        <f>H44/503*B37</f>
        <v>3.9761431411530817</v>
      </c>
      <c r="I37" s="455" t="e">
        <f>#REF!/504*B37</f>
        <v>#REF!</v>
      </c>
      <c r="J37" s="455">
        <f>J44/503*B37</f>
        <v>1095.427435387674</v>
      </c>
      <c r="K37" s="455">
        <f>K44/503*B37</f>
        <v>4681.908548707754</v>
      </c>
      <c r="L37" s="455">
        <f>L44/503*B37</f>
        <v>0</v>
      </c>
      <c r="M37" s="455">
        <f>M44/503*B37</f>
        <v>36.20675944333996</v>
      </c>
      <c r="N37" s="455">
        <f>N44/503*B37</f>
        <v>868.7872763419483</v>
      </c>
      <c r="O37" s="455">
        <f>O44/503*B37</f>
        <v>2733.5984095427434</v>
      </c>
      <c r="P37" s="455">
        <f>P44/503*B37</f>
        <v>273.3598409542744</v>
      </c>
      <c r="Q37" s="455">
        <f>Q44/503*B37</f>
        <v>100.3976143141153</v>
      </c>
      <c r="R37" s="455">
        <f>D37+E37+F37+G37+H37+J37+K37+L37+M37+N37+O37+P37+Q37</f>
        <v>141828.31014596423</v>
      </c>
      <c r="S37" s="455">
        <f t="shared" si="4"/>
        <v>141828.31014596423</v>
      </c>
      <c r="T37" s="282"/>
    </row>
    <row r="38" spans="1:20" s="326" customFormat="1" ht="24">
      <c r="A38" s="452" t="s">
        <v>849</v>
      </c>
      <c r="B38" s="282">
        <v>209</v>
      </c>
      <c r="C38" s="282" t="s">
        <v>477</v>
      </c>
      <c r="D38" s="455">
        <f>(D44)/503*B38</f>
        <v>21307529.22465209</v>
      </c>
      <c r="E38" s="455">
        <f>E44/503*B38</f>
        <v>1725118.4095427433</v>
      </c>
      <c r="F38" s="455">
        <f>F44/503*B38</f>
        <v>792371.7693836979</v>
      </c>
      <c r="G38" s="455">
        <f>(G44-0)/503*B38</f>
        <v>3770222.0531108947</v>
      </c>
      <c r="H38" s="455">
        <f>H44/503*B38</f>
        <v>831.013916500994</v>
      </c>
      <c r="I38" s="455">
        <f>I44/504*B38</f>
        <v>0</v>
      </c>
      <c r="J38" s="455">
        <f>J44/503*B38</f>
        <v>228944.33399602387</v>
      </c>
      <c r="K38" s="455">
        <f>K44/503*B38</f>
        <v>978518.8866799205</v>
      </c>
      <c r="L38" s="455">
        <f>L44/503*B38</f>
        <v>0</v>
      </c>
      <c r="M38" s="455">
        <f>M44/503*B38</f>
        <v>7567.212723658052</v>
      </c>
      <c r="N38" s="455">
        <f>N44/503*B38</f>
        <v>181576.5407554672</v>
      </c>
      <c r="O38" s="455">
        <f>O44/503*B38</f>
        <v>571322.0675944333</v>
      </c>
      <c r="P38" s="455">
        <f>P44/503*B38</f>
        <v>57132.20675944335</v>
      </c>
      <c r="Q38" s="455">
        <f>Q44/503*B38</f>
        <v>20983.1013916501</v>
      </c>
      <c r="R38" s="455">
        <f>SUM(D38:Q38)+0.02</f>
        <v>29642116.84050652</v>
      </c>
      <c r="S38" s="455">
        <f t="shared" si="4"/>
        <v>141828.31024165798</v>
      </c>
      <c r="T38" s="282"/>
    </row>
    <row r="39" spans="1:20" s="326" customFormat="1" ht="60">
      <c r="A39" s="452" t="s">
        <v>850</v>
      </c>
      <c r="B39" s="282">
        <v>45</v>
      </c>
      <c r="C39" s="282" t="s">
        <v>477</v>
      </c>
      <c r="D39" s="455">
        <f>(D44)/503*B39</f>
        <v>4587745.526838967</v>
      </c>
      <c r="E39" s="455">
        <f>E44/503*B39</f>
        <v>371436.9781312127</v>
      </c>
      <c r="F39" s="455">
        <f>F44/503*B39</f>
        <v>170606.36182902585</v>
      </c>
      <c r="G39" s="455">
        <f>(G44-0)/503*B39</f>
        <v>811770.2985166998</v>
      </c>
      <c r="H39" s="455">
        <f>H44/503*B39</f>
        <v>178.92644135188868</v>
      </c>
      <c r="I39" s="455">
        <f>I44/554*E39</f>
        <v>0</v>
      </c>
      <c r="J39" s="455">
        <f>J44/503*B39</f>
        <v>49294.23459244533</v>
      </c>
      <c r="K39" s="455">
        <f>K44/503*B39</f>
        <v>210685.8846918489</v>
      </c>
      <c r="L39" s="455">
        <f>L44/503*B39</f>
        <v>0</v>
      </c>
      <c r="M39" s="455">
        <f>M44/503*B39</f>
        <v>1629.3041749502984</v>
      </c>
      <c r="N39" s="455">
        <f>N44/503*B39</f>
        <v>39095.427435387675</v>
      </c>
      <c r="O39" s="455">
        <f>O44/503*B39</f>
        <v>123011.92842942345</v>
      </c>
      <c r="P39" s="455">
        <f>P44/503*B39</f>
        <v>12301.192842942346</v>
      </c>
      <c r="Q39" s="455">
        <f>Q44/503*B39</f>
        <v>4517.892644135189</v>
      </c>
      <c r="R39" s="455">
        <f>SUM(D39:Q39)</f>
        <v>6382273.956568391</v>
      </c>
      <c r="S39" s="455">
        <f t="shared" si="4"/>
        <v>141828.31014596423</v>
      </c>
      <c r="T39" s="282"/>
    </row>
    <row r="40" spans="1:20" s="326" customFormat="1" ht="48">
      <c r="A40" s="452" t="s">
        <v>922</v>
      </c>
      <c r="B40" s="282">
        <v>1</v>
      </c>
      <c r="C40" s="282" t="s">
        <v>477</v>
      </c>
      <c r="D40" s="455">
        <f>(D44)/503*B40</f>
        <v>101949.90059642147</v>
      </c>
      <c r="E40" s="455">
        <f>E44/503*B40</f>
        <v>8254.155069582504</v>
      </c>
      <c r="F40" s="455">
        <f>F44/503*B40</f>
        <v>3791.2524850894633</v>
      </c>
      <c r="G40" s="455">
        <f>(G44-0)/503*B40</f>
        <v>18039.339967037773</v>
      </c>
      <c r="H40" s="455">
        <f>H44/503*B40</f>
        <v>3.9761431411530817</v>
      </c>
      <c r="I40" s="455">
        <f>I45/554*E40</f>
        <v>0</v>
      </c>
      <c r="J40" s="455">
        <f>J44/503*B40</f>
        <v>1095.427435387674</v>
      </c>
      <c r="K40" s="455">
        <f>K44/503*B40</f>
        <v>4681.908548707754</v>
      </c>
      <c r="L40" s="455">
        <f>L44/503*B40</f>
        <v>0</v>
      </c>
      <c r="M40" s="455">
        <f>M44/503*B40</f>
        <v>36.20675944333996</v>
      </c>
      <c r="N40" s="455">
        <f>N44/503*B40</f>
        <v>868.7872763419483</v>
      </c>
      <c r="O40" s="455">
        <f>O44/503*B40</f>
        <v>2733.5984095427434</v>
      </c>
      <c r="P40" s="455">
        <f>P44/503*B40</f>
        <v>273.3598409542744</v>
      </c>
      <c r="Q40" s="455">
        <f>Q44/503*B40</f>
        <v>100.3976143141153</v>
      </c>
      <c r="R40" s="455">
        <f>SUM(D40:Q40)</f>
        <v>141828.31014596423</v>
      </c>
      <c r="S40" s="455">
        <f t="shared" si="4"/>
        <v>141828.31014596423</v>
      </c>
      <c r="T40" s="282"/>
    </row>
    <row r="41" spans="1:20" s="326" customFormat="1" ht="84">
      <c r="A41" s="452" t="s">
        <v>923</v>
      </c>
      <c r="B41" s="282">
        <v>2</v>
      </c>
      <c r="C41" s="282" t="s">
        <v>477</v>
      </c>
      <c r="D41" s="455">
        <f>(D44)/503*B41</f>
        <v>203899.80119284295</v>
      </c>
      <c r="E41" s="455">
        <f>E44/503*B41</f>
        <v>16508.31013916501</v>
      </c>
      <c r="F41" s="455">
        <f>F44/503*B41</f>
        <v>7582.504970178927</v>
      </c>
      <c r="G41" s="455">
        <f>(G44-0)/503*B41</f>
        <v>36078.679934075546</v>
      </c>
      <c r="H41" s="455">
        <f>H44/503*B41</f>
        <v>7.952286282306163</v>
      </c>
      <c r="I41" s="455" t="e">
        <f>#REF!/554*E41</f>
        <v>#REF!</v>
      </c>
      <c r="J41" s="455">
        <f>J44/503*B41</f>
        <v>2190.854870775348</v>
      </c>
      <c r="K41" s="455">
        <f>K44/503*B41</f>
        <v>9363.817097415507</v>
      </c>
      <c r="L41" s="455">
        <f>L44/503*B41</f>
        <v>0</v>
      </c>
      <c r="M41" s="455">
        <f>M44/503*B41</f>
        <v>72.41351888667992</v>
      </c>
      <c r="N41" s="455">
        <f>N44/503*B41</f>
        <v>1737.5745526838966</v>
      </c>
      <c r="O41" s="455">
        <f>O44/503*B41</f>
        <v>5467.196819085487</v>
      </c>
      <c r="P41" s="455">
        <f>P44/503*B41</f>
        <v>546.7196819085488</v>
      </c>
      <c r="Q41" s="455">
        <f>Q44/503*B41</f>
        <v>200.7952286282306</v>
      </c>
      <c r="R41" s="455">
        <f>D41+E41+F41+G41+H41+J41+K41+L41+M41+N41+O41+P41+Q41</f>
        <v>283656.62029192847</v>
      </c>
      <c r="S41" s="455">
        <f t="shared" si="4"/>
        <v>141828.31014596423</v>
      </c>
      <c r="T41" s="282"/>
    </row>
    <row r="42" spans="1:20" s="326" customFormat="1" ht="99.75" customHeight="1">
      <c r="A42" s="452" t="s">
        <v>989</v>
      </c>
      <c r="B42" s="282">
        <v>1</v>
      </c>
      <c r="C42" s="282" t="s">
        <v>477</v>
      </c>
      <c r="D42" s="455">
        <f>(D44)/503*B42</f>
        <v>101949.90059642147</v>
      </c>
      <c r="E42" s="455">
        <f>E44/503*B42</f>
        <v>8254.155069582504</v>
      </c>
      <c r="F42" s="455">
        <f>F44/503*B42</f>
        <v>3791.2524850894633</v>
      </c>
      <c r="G42" s="455">
        <f>(G44)/503*B42</f>
        <v>18039.339967037773</v>
      </c>
      <c r="H42" s="455">
        <f>H44/503*B42</f>
        <v>3.9761431411530817</v>
      </c>
      <c r="I42" s="455">
        <f>I45/554*G42</f>
        <v>0</v>
      </c>
      <c r="J42" s="455">
        <f>J44/503*B42</f>
        <v>1095.427435387674</v>
      </c>
      <c r="K42" s="455">
        <f>K44/503*B42</f>
        <v>4681.908548707754</v>
      </c>
      <c r="L42" s="455">
        <f>L44/503*B42</f>
        <v>0</v>
      </c>
      <c r="M42" s="455">
        <f>M44/503*B42</f>
        <v>36.20675944333996</v>
      </c>
      <c r="N42" s="455">
        <f>N44/503*B42</f>
        <v>868.7872763419483</v>
      </c>
      <c r="O42" s="455">
        <f>O44/503*B42</f>
        <v>2733.5984095427434</v>
      </c>
      <c r="P42" s="455">
        <f>P44/503*B42</f>
        <v>273.3598409542744</v>
      </c>
      <c r="Q42" s="455">
        <f>Q44/503*B42</f>
        <v>100.3976143141153</v>
      </c>
      <c r="R42" s="455">
        <f>SUM(D42:Q42)</f>
        <v>141828.31014596423</v>
      </c>
      <c r="S42" s="455">
        <f t="shared" si="4"/>
        <v>141828.31014596423</v>
      </c>
      <c r="T42" s="282"/>
    </row>
    <row r="43" spans="1:20" s="326" customFormat="1" ht="99.75" customHeight="1">
      <c r="A43" s="452" t="s">
        <v>851</v>
      </c>
      <c r="B43" s="282">
        <v>20</v>
      </c>
      <c r="C43" s="282" t="s">
        <v>477</v>
      </c>
      <c r="D43" s="455">
        <f>(D44)/503*B43</f>
        <v>2038998.0119284294</v>
      </c>
      <c r="E43" s="455">
        <f>E44/503*B43</f>
        <v>165083.1013916501</v>
      </c>
      <c r="F43" s="455">
        <f>F44/503*B43</f>
        <v>75825.04970178926</v>
      </c>
      <c r="G43" s="455">
        <f>(G44-0)/503*B43</f>
        <v>360786.79934075545</v>
      </c>
      <c r="H43" s="455">
        <f>H44/503*B43</f>
        <v>79.52286282306163</v>
      </c>
      <c r="I43" s="455">
        <f>I44/554*G43</f>
        <v>0</v>
      </c>
      <c r="J43" s="455">
        <f>J44/503*B43</f>
        <v>21908.548707753478</v>
      </c>
      <c r="K43" s="455">
        <f>K44/503*B43</f>
        <v>93638.17097415507</v>
      </c>
      <c r="L43" s="455">
        <f>L44/503*B43</f>
        <v>0</v>
      </c>
      <c r="M43" s="455">
        <f>M44/503*B43</f>
        <v>724.1351888667992</v>
      </c>
      <c r="N43" s="455">
        <f>N44/503*B43</f>
        <v>17375.745526838968</v>
      </c>
      <c r="O43" s="455">
        <f>O44/503*B43</f>
        <v>54671.96819085487</v>
      </c>
      <c r="P43" s="455">
        <f>P44/503*B43</f>
        <v>5467.196819085488</v>
      </c>
      <c r="Q43" s="455">
        <f>Q44/503*B43</f>
        <v>2007.952286282306</v>
      </c>
      <c r="R43" s="455">
        <f>SUM(D43:Q43)+0.02</f>
        <v>2836566.222919285</v>
      </c>
      <c r="S43" s="455">
        <f t="shared" si="4"/>
        <v>141828.31114596425</v>
      </c>
      <c r="T43" s="282"/>
    </row>
    <row r="44" spans="1:20" s="273" customFormat="1" ht="21" customHeight="1">
      <c r="A44" s="456" t="s">
        <v>478</v>
      </c>
      <c r="B44" s="457"/>
      <c r="C44" s="457"/>
      <c r="D44" s="281">
        <f>'Раздел 1. Поступления и выплаты'!F181</f>
        <v>51280800</v>
      </c>
      <c r="E44" s="281">
        <f>'Областной бюджет'!G302</f>
        <v>4151840</v>
      </c>
      <c r="F44" s="281">
        <f>'Областной бюджет'!G303-'Областной бюджет'!G302+'Областной бюджет'!F295+'Областной бюджет'!G326+'Областной бюджет'!G367+'Областной бюджет'!G373</f>
        <v>1907000</v>
      </c>
      <c r="G44" s="281">
        <f>'Раздел 1. Поступления и выплаты'!E181</f>
        <v>9073788.003419999</v>
      </c>
      <c r="H44" s="281">
        <f>'Раздел 1. Поступления и выплаты'!E215</f>
        <v>2000</v>
      </c>
      <c r="I44" s="281">
        <v>0</v>
      </c>
      <c r="J44" s="281">
        <f>'Раздел 1. Поступления и выплаты'!E220</f>
        <v>551000</v>
      </c>
      <c r="K44" s="281">
        <f>'Раздел 1. Поступления и выплаты'!E221</f>
        <v>2355000</v>
      </c>
      <c r="L44" s="281">
        <f>'Раздел 1. Поступления и выплаты'!E83</f>
        <v>0</v>
      </c>
      <c r="M44" s="281">
        <f>'Раздел 1. Поступления и выплаты'!E228+'Раздел 1. Поступления и выплаты'!E229+'Раздел 1. Поступления и выплаты'!E230+'Раздел 1. Поступления и выплаты'!E232+'Раздел 1. Поступления и выплаты'!E234+'Местный бюджет'!G452</f>
        <v>18212</v>
      </c>
      <c r="N44" s="281">
        <f>'Местный бюджет'!G326</f>
        <v>437000</v>
      </c>
      <c r="O44" s="281">
        <f>'Местный бюджет'!G327+'Местный бюджет'!G328</f>
        <v>1375000</v>
      </c>
      <c r="P44" s="281">
        <f>'Местный бюджет'!G330+'Местный бюджет'!G331</f>
        <v>137500</v>
      </c>
      <c r="Q44" s="281">
        <f>'Местный бюджет'!G332</f>
        <v>50500</v>
      </c>
      <c r="R44" s="281">
        <f>R33+R34+R35+R36+R37+R38+R39+R40+R41+R42+R43</f>
        <v>71339640.00342</v>
      </c>
      <c r="S44" s="457"/>
      <c r="T44" s="457">
        <v>0</v>
      </c>
    </row>
    <row r="45" spans="1:20" s="273" customFormat="1" ht="24.75" customHeight="1">
      <c r="A45" s="484" t="s">
        <v>977</v>
      </c>
      <c r="B45" s="484"/>
      <c r="C45" s="484"/>
      <c r="D45" s="484"/>
      <c r="E45" s="484"/>
      <c r="F45" s="484"/>
      <c r="G45" s="484"/>
      <c r="H45" s="484"/>
      <c r="I45" s="484"/>
      <c r="J45" s="484"/>
      <c r="K45" s="484"/>
      <c r="L45" s="484"/>
      <c r="M45" s="484"/>
      <c r="N45" s="484"/>
      <c r="O45" s="484"/>
      <c r="P45" s="484"/>
      <c r="Q45" s="484"/>
      <c r="R45" s="484"/>
      <c r="S45" s="484"/>
      <c r="T45" s="484"/>
    </row>
    <row r="46" spans="1:20" s="326" customFormat="1" ht="42.75" customHeight="1">
      <c r="A46" s="452" t="s">
        <v>845</v>
      </c>
      <c r="B46" s="282">
        <v>202</v>
      </c>
      <c r="C46" s="282" t="s">
        <v>477</v>
      </c>
      <c r="D46" s="455">
        <f>(D57)/503*B46+0.01</f>
        <v>21875435.397673957</v>
      </c>
      <c r="E46" s="455">
        <f>E57/503*B46-0.01</f>
        <v>1734035.4571968191</v>
      </c>
      <c r="F46" s="455">
        <f>F57/503*B46-0.01</f>
        <v>796353.8667395627</v>
      </c>
      <c r="G46" s="455">
        <f>(G57-0)/503*B46-0.01</f>
        <v>3643946.6633416303</v>
      </c>
      <c r="H46" s="455">
        <f>H57/503*B46</f>
        <v>0</v>
      </c>
      <c r="I46" s="455">
        <f>I57/504*B46</f>
        <v>0</v>
      </c>
      <c r="J46" s="455">
        <f>J57/503*B46-0.01</f>
        <v>182803.56455268388</v>
      </c>
      <c r="K46" s="455">
        <f>K57/503*B46-0.01</f>
        <v>950977.7344930419</v>
      </c>
      <c r="L46" s="455">
        <f>L57/503*B46</f>
        <v>0</v>
      </c>
      <c r="M46" s="455">
        <f>M57/503*B46-0.02</f>
        <v>-0.02</v>
      </c>
      <c r="N46" s="455">
        <f>N57/503*B46+0.01</f>
        <v>200795.23862823064</v>
      </c>
      <c r="O46" s="455">
        <f>O57/503*B46+0.01</f>
        <v>563425.1004970178</v>
      </c>
      <c r="P46" s="455">
        <f>P57/503*B46+0.01</f>
        <v>48190.86487077535</v>
      </c>
      <c r="Q46" s="455">
        <f>Q57/503*B46+0.01</f>
        <v>32127.246580516898</v>
      </c>
      <c r="R46" s="455">
        <f>SUM(D46:Q46)</f>
        <v>30028091.11457424</v>
      </c>
      <c r="S46" s="455">
        <f aca="true" t="shared" si="5" ref="S46:S56">R46/B46</f>
        <v>148653.91640878335</v>
      </c>
      <c r="T46" s="282"/>
    </row>
    <row r="47" spans="1:20" s="326" customFormat="1" ht="93" customHeight="1">
      <c r="A47" s="452" t="s">
        <v>846</v>
      </c>
      <c r="B47" s="282">
        <v>19</v>
      </c>
      <c r="C47" s="282" t="s">
        <v>477</v>
      </c>
      <c r="D47" s="455">
        <f>(D57)/503*B47</f>
        <v>2057590.4572564613</v>
      </c>
      <c r="E47" s="455">
        <f>E57/503*B47</f>
        <v>163102.3459244533</v>
      </c>
      <c r="F47" s="455">
        <f>F57/503*B47</f>
        <v>74904.57256461233</v>
      </c>
      <c r="G47" s="455">
        <f>(G57-0)/503*B47</f>
        <v>342747.45937371766</v>
      </c>
      <c r="H47" s="455">
        <f>H57/503*B47</f>
        <v>0</v>
      </c>
      <c r="I47" s="455">
        <f>I57/504*B47</f>
        <v>0</v>
      </c>
      <c r="J47" s="455">
        <f>J57/503*B47</f>
        <v>17194.395626242545</v>
      </c>
      <c r="K47" s="455">
        <f>K57/503*B47</f>
        <v>89448.40170974156</v>
      </c>
      <c r="L47" s="455">
        <f>L57/503*B47</f>
        <v>0</v>
      </c>
      <c r="M47" s="455">
        <f>M57/503*B47</f>
        <v>0</v>
      </c>
      <c r="N47" s="455">
        <f>N57/503*B47</f>
        <v>18886.679920477138</v>
      </c>
      <c r="O47" s="455">
        <f>O57/503*B47</f>
        <v>52995.42930417495</v>
      </c>
      <c r="P47" s="455">
        <f>P57/503*B47</f>
        <v>4532.803180914513</v>
      </c>
      <c r="Q47" s="455">
        <f>Q57/503*B47</f>
        <v>3021.868787276342</v>
      </c>
      <c r="R47" s="455">
        <f>SUM(D47:Q47)-0.02</f>
        <v>2824424.3936480717</v>
      </c>
      <c r="S47" s="455">
        <f t="shared" si="5"/>
        <v>148653.91545516168</v>
      </c>
      <c r="T47" s="282"/>
    </row>
    <row r="48" spans="1:20" s="326" customFormat="1" ht="58.5" customHeight="1">
      <c r="A48" s="452" t="s">
        <v>847</v>
      </c>
      <c r="B48" s="282">
        <v>2</v>
      </c>
      <c r="C48" s="282" t="s">
        <v>477</v>
      </c>
      <c r="D48" s="455">
        <f>(D57)/503*B48</f>
        <v>216588.46918489065</v>
      </c>
      <c r="E48" s="455">
        <f>E57/503*B48</f>
        <v>17168.667992047715</v>
      </c>
      <c r="F48" s="455">
        <f>F57/503*B48</f>
        <v>7884.691848906561</v>
      </c>
      <c r="G48" s="455">
        <f>(G57-0)/503*B48</f>
        <v>36078.679934075546</v>
      </c>
      <c r="H48" s="455">
        <f>H57/503*B48</f>
        <v>0</v>
      </c>
      <c r="I48" s="455">
        <f>I57/504*B48</f>
        <v>0</v>
      </c>
      <c r="J48" s="455">
        <f>J57/503*B48</f>
        <v>1809.9363817097415</v>
      </c>
      <c r="K48" s="455">
        <f>K57/503*B48</f>
        <v>9415.621232604375</v>
      </c>
      <c r="L48" s="455">
        <f>L57/503*B48</f>
        <v>0</v>
      </c>
      <c r="M48" s="455">
        <f>M57/503*B48</f>
        <v>0</v>
      </c>
      <c r="N48" s="455">
        <f>N57/503*B48</f>
        <v>1988.0715705765408</v>
      </c>
      <c r="O48" s="455">
        <f>O57/503*B48</f>
        <v>5578.466242544731</v>
      </c>
      <c r="P48" s="455">
        <f>P57/503*B48</f>
        <v>477.1371769383698</v>
      </c>
      <c r="Q48" s="455">
        <f>Q57/503*B48</f>
        <v>318.0914512922465</v>
      </c>
      <c r="R48" s="455">
        <f>SUM(D48:Q48)</f>
        <v>297307.8330155865</v>
      </c>
      <c r="S48" s="455">
        <f t="shared" si="5"/>
        <v>148653.91650779324</v>
      </c>
      <c r="T48" s="282"/>
    </row>
    <row r="49" spans="1:20" s="326" customFormat="1" ht="83.25" customHeight="1">
      <c r="A49" s="452" t="s">
        <v>848</v>
      </c>
      <c r="B49" s="282">
        <v>1</v>
      </c>
      <c r="C49" s="282" t="s">
        <v>477</v>
      </c>
      <c r="D49" s="455">
        <f>(D57)/503*B49</f>
        <v>108294.23459244533</v>
      </c>
      <c r="E49" s="455">
        <f>E57/503*B49</f>
        <v>8584.333996023857</v>
      </c>
      <c r="F49" s="455">
        <f>F57/503*B49</f>
        <v>3942.3459244532805</v>
      </c>
      <c r="G49" s="455">
        <f>(G57-0)/503*B49</f>
        <v>18039.339967037773</v>
      </c>
      <c r="H49" s="455">
        <f>H57/503*B49</f>
        <v>0</v>
      </c>
      <c r="I49" s="455">
        <f>I57/504*B49</f>
        <v>0</v>
      </c>
      <c r="J49" s="455">
        <f>J57/503*B49</f>
        <v>904.9681908548707</v>
      </c>
      <c r="K49" s="455">
        <f>K57/503*B49</f>
        <v>4707.810616302188</v>
      </c>
      <c r="L49" s="455">
        <f>L57/503*B49</f>
        <v>0</v>
      </c>
      <c r="M49" s="455">
        <f>M57/503*B49</f>
        <v>0</v>
      </c>
      <c r="N49" s="455">
        <f>N57/503*B49</f>
        <v>994.0357852882704</v>
      </c>
      <c r="O49" s="455">
        <f>O57/503*B49</f>
        <v>2789.2331212723657</v>
      </c>
      <c r="P49" s="455">
        <f>P57/503*B49</f>
        <v>238.5685884691849</v>
      </c>
      <c r="Q49" s="455">
        <f>Q57/503*B49</f>
        <v>159.04572564612326</v>
      </c>
      <c r="R49" s="455">
        <f>SUM(D49:Q49)</f>
        <v>148653.91650779324</v>
      </c>
      <c r="S49" s="455">
        <f t="shared" si="5"/>
        <v>148653.91650779324</v>
      </c>
      <c r="T49" s="282"/>
    </row>
    <row r="50" spans="1:20" s="326" customFormat="1" ht="86.25" customHeight="1">
      <c r="A50" s="452" t="s">
        <v>848</v>
      </c>
      <c r="B50" s="282">
        <v>1</v>
      </c>
      <c r="C50" s="282" t="s">
        <v>477</v>
      </c>
      <c r="D50" s="455">
        <f>(D57)/503*B50</f>
        <v>108294.23459244533</v>
      </c>
      <c r="E50" s="455">
        <f>E57/503*B50</f>
        <v>8584.333996023857</v>
      </c>
      <c r="F50" s="455">
        <f>F57/503*B50</f>
        <v>3942.3459244532805</v>
      </c>
      <c r="G50" s="455">
        <f>(G57-0)/503*B50</f>
        <v>18039.339967037773</v>
      </c>
      <c r="H50" s="455">
        <f>H57/503*B50</f>
        <v>0</v>
      </c>
      <c r="I50" s="455" t="e">
        <f>#REF!/504*B50</f>
        <v>#REF!</v>
      </c>
      <c r="J50" s="455">
        <f>J57/503*B50</f>
        <v>904.9681908548707</v>
      </c>
      <c r="K50" s="455">
        <f>K57/503*B50</f>
        <v>4707.810616302188</v>
      </c>
      <c r="L50" s="455">
        <f>L57/503*B50</f>
        <v>0</v>
      </c>
      <c r="M50" s="455">
        <f>M57/503*B50</f>
        <v>0</v>
      </c>
      <c r="N50" s="455">
        <f>N57/503*B50</f>
        <v>994.0357852882704</v>
      </c>
      <c r="O50" s="455">
        <f>O57/503*B50</f>
        <v>2789.2331212723657</v>
      </c>
      <c r="P50" s="455">
        <f>P57/503*B50</f>
        <v>238.5685884691849</v>
      </c>
      <c r="Q50" s="455">
        <f>Q57/503*B50</f>
        <v>159.04572564612326</v>
      </c>
      <c r="R50" s="455">
        <f>D50+E50+F50+G50+H50+J50+K50+L50+M50+N50+O50+P50+Q50</f>
        <v>148653.91650779324</v>
      </c>
      <c r="S50" s="455">
        <f t="shared" si="5"/>
        <v>148653.91650779324</v>
      </c>
      <c r="T50" s="282"/>
    </row>
    <row r="51" spans="1:20" s="326" customFormat="1" ht="24">
      <c r="A51" s="452" t="s">
        <v>849</v>
      </c>
      <c r="B51" s="282">
        <v>209</v>
      </c>
      <c r="C51" s="282" t="s">
        <v>477</v>
      </c>
      <c r="D51" s="455">
        <f>(D57)/503*B51</f>
        <v>22633495.02982107</v>
      </c>
      <c r="E51" s="455">
        <f>E57/503*B51</f>
        <v>1794125.805168986</v>
      </c>
      <c r="F51" s="455">
        <f>F57/503*B51</f>
        <v>823950.2982107357</v>
      </c>
      <c r="G51" s="455">
        <f>(G57-0)/503*B51</f>
        <v>3770222.0531108947</v>
      </c>
      <c r="H51" s="455">
        <f>H57/503*B51</f>
        <v>0</v>
      </c>
      <c r="I51" s="455">
        <f>I57/504*B51</f>
        <v>0</v>
      </c>
      <c r="J51" s="455">
        <f>J57/503*B51</f>
        <v>189138.351888668</v>
      </c>
      <c r="K51" s="455">
        <f>K57/503*B51</f>
        <v>983932.4188071572</v>
      </c>
      <c r="L51" s="455">
        <f>L57/503*B51</f>
        <v>0</v>
      </c>
      <c r="M51" s="455">
        <f>M57/503*B51</f>
        <v>0</v>
      </c>
      <c r="N51" s="455">
        <f>N57/503*B51</f>
        <v>207753.4791252485</v>
      </c>
      <c r="O51" s="455">
        <f>O57/503*B51</f>
        <v>582949.7223459245</v>
      </c>
      <c r="P51" s="455">
        <f>P57/503*B51</f>
        <v>49860.834990059644</v>
      </c>
      <c r="Q51" s="455">
        <f>Q57/503*B51</f>
        <v>33240.55666003976</v>
      </c>
      <c r="R51" s="455">
        <f>SUM(D51:Q51)+0.02</f>
        <v>31068668.570128787</v>
      </c>
      <c r="S51" s="455">
        <f t="shared" si="5"/>
        <v>148653.916603487</v>
      </c>
      <c r="T51" s="282"/>
    </row>
    <row r="52" spans="1:20" s="326" customFormat="1" ht="60">
      <c r="A52" s="452" t="s">
        <v>850</v>
      </c>
      <c r="B52" s="282">
        <v>45</v>
      </c>
      <c r="C52" s="282" t="s">
        <v>477</v>
      </c>
      <c r="D52" s="455">
        <f>(D57)/503*B52</f>
        <v>4873240.556660039</v>
      </c>
      <c r="E52" s="455">
        <f>E57/503*B52</f>
        <v>386295.0298210736</v>
      </c>
      <c r="F52" s="455">
        <f>F57/503*B52</f>
        <v>177405.56660039764</v>
      </c>
      <c r="G52" s="455">
        <f>(G57-0)/503*B52</f>
        <v>811770.2985166998</v>
      </c>
      <c r="H52" s="455">
        <f>H57/503*B52</f>
        <v>0</v>
      </c>
      <c r="I52" s="455">
        <f>I57/554*E52</f>
        <v>0</v>
      </c>
      <c r="J52" s="455">
        <f>J57/503*B52</f>
        <v>40723.568588469185</v>
      </c>
      <c r="K52" s="455">
        <f>K57/503*B52</f>
        <v>211851.47773359844</v>
      </c>
      <c r="L52" s="455">
        <f>L57/503*B52</f>
        <v>0</v>
      </c>
      <c r="M52" s="455">
        <f>M57/503*B52</f>
        <v>0</v>
      </c>
      <c r="N52" s="455">
        <f>N57/503*B52</f>
        <v>44731.61033797217</v>
      </c>
      <c r="O52" s="455">
        <f>O57/503*B52</f>
        <v>125515.49045725646</v>
      </c>
      <c r="P52" s="455">
        <f>P57/503*B52</f>
        <v>10735.586481113321</v>
      </c>
      <c r="Q52" s="455">
        <f>Q57/503*B52</f>
        <v>7157.057654075546</v>
      </c>
      <c r="R52" s="455">
        <f>SUM(D52:Q52)</f>
        <v>6689426.242850694</v>
      </c>
      <c r="S52" s="455">
        <f t="shared" si="5"/>
        <v>148653.91650779318</v>
      </c>
      <c r="T52" s="282"/>
    </row>
    <row r="53" spans="1:20" s="326" customFormat="1" ht="48">
      <c r="A53" s="452" t="s">
        <v>922</v>
      </c>
      <c r="B53" s="282">
        <v>1</v>
      </c>
      <c r="C53" s="282" t="s">
        <v>477</v>
      </c>
      <c r="D53" s="455">
        <f>(D57)/503*B53</f>
        <v>108294.23459244533</v>
      </c>
      <c r="E53" s="455">
        <f>E57/503*B53</f>
        <v>8584.333996023857</v>
      </c>
      <c r="F53" s="455">
        <f>F57/503*B53</f>
        <v>3942.3459244532805</v>
      </c>
      <c r="G53" s="455">
        <f>(G57-0)/503*B53</f>
        <v>18039.339967037773</v>
      </c>
      <c r="H53" s="455">
        <f>H57/503*B53</f>
        <v>0</v>
      </c>
      <c r="I53" s="455">
        <f>I58/554*E53</f>
        <v>0</v>
      </c>
      <c r="J53" s="455">
        <f>J57/503*B53</f>
        <v>904.9681908548707</v>
      </c>
      <c r="K53" s="455">
        <f>K57/503*B53</f>
        <v>4707.810616302188</v>
      </c>
      <c r="L53" s="455">
        <f>L57/503*B53</f>
        <v>0</v>
      </c>
      <c r="M53" s="455">
        <f>M57/503*B53</f>
        <v>0</v>
      </c>
      <c r="N53" s="455">
        <f>N57/503*B53</f>
        <v>994.0357852882704</v>
      </c>
      <c r="O53" s="455">
        <f>O57/503*B53</f>
        <v>2789.2331212723657</v>
      </c>
      <c r="P53" s="455">
        <f>P57/503*B53</f>
        <v>238.5685884691849</v>
      </c>
      <c r="Q53" s="455">
        <f>Q57/503*B53</f>
        <v>159.04572564612326</v>
      </c>
      <c r="R53" s="455">
        <f>SUM(D53:Q53)</f>
        <v>148653.91650779324</v>
      </c>
      <c r="S53" s="455">
        <f t="shared" si="5"/>
        <v>148653.91650779324</v>
      </c>
      <c r="T53" s="282"/>
    </row>
    <row r="54" spans="1:20" s="326" customFormat="1" ht="84">
      <c r="A54" s="452" t="s">
        <v>923</v>
      </c>
      <c r="B54" s="282">
        <v>2</v>
      </c>
      <c r="C54" s="282" t="s">
        <v>477</v>
      </c>
      <c r="D54" s="455">
        <f>(D57)/503*B54</f>
        <v>216588.46918489065</v>
      </c>
      <c r="E54" s="455">
        <f>E57/503*B54</f>
        <v>17168.667992047715</v>
      </c>
      <c r="F54" s="455">
        <f>F57/503*B54</f>
        <v>7884.691848906561</v>
      </c>
      <c r="G54" s="455">
        <f>(G57-0)/503*B54</f>
        <v>36078.679934075546</v>
      </c>
      <c r="H54" s="455">
        <f>H57/503*B54</f>
        <v>0</v>
      </c>
      <c r="I54" s="455" t="e">
        <f>#REF!/554*E54</f>
        <v>#REF!</v>
      </c>
      <c r="J54" s="455">
        <f>J57/503*B54</f>
        <v>1809.9363817097415</v>
      </c>
      <c r="K54" s="455">
        <f>K57/503*B54</f>
        <v>9415.621232604375</v>
      </c>
      <c r="L54" s="455">
        <f>L57/503*B54</f>
        <v>0</v>
      </c>
      <c r="M54" s="455">
        <f>M57/503*B54</f>
        <v>0</v>
      </c>
      <c r="N54" s="455">
        <f>N57/503*B54</f>
        <v>1988.0715705765408</v>
      </c>
      <c r="O54" s="455">
        <f>O57/503*B54</f>
        <v>5578.466242544731</v>
      </c>
      <c r="P54" s="455">
        <f>P57/503*B54</f>
        <v>477.1371769383698</v>
      </c>
      <c r="Q54" s="455">
        <f>Q57/503*B54</f>
        <v>318.0914512922465</v>
      </c>
      <c r="R54" s="455">
        <f>D54+E54+F54+G54+H54+J54+K54+L54+M54+N54+O54+P54+Q54</f>
        <v>297307.8330155865</v>
      </c>
      <c r="S54" s="455">
        <f t="shared" si="5"/>
        <v>148653.91650779324</v>
      </c>
      <c r="T54" s="282"/>
    </row>
    <row r="55" spans="1:20" s="326" customFormat="1" ht="99.75" customHeight="1">
      <c r="A55" s="452" t="s">
        <v>989</v>
      </c>
      <c r="B55" s="282">
        <v>1</v>
      </c>
      <c r="C55" s="282" t="s">
        <v>477</v>
      </c>
      <c r="D55" s="455">
        <f>(D57)/503*B55</f>
        <v>108294.23459244533</v>
      </c>
      <c r="E55" s="455">
        <f>E57/503*B55</f>
        <v>8584.333996023857</v>
      </c>
      <c r="F55" s="455">
        <f>F57/503*B55</f>
        <v>3942.3459244532805</v>
      </c>
      <c r="G55" s="455">
        <f>(G57)/503*B55</f>
        <v>18039.339967037773</v>
      </c>
      <c r="H55" s="455">
        <f>H57/503*B55</f>
        <v>0</v>
      </c>
      <c r="I55" s="455">
        <f>I58/554*G55</f>
        <v>0</v>
      </c>
      <c r="J55" s="455">
        <f>J57/503*B55</f>
        <v>904.9681908548707</v>
      </c>
      <c r="K55" s="455">
        <f>K57/503*B55</f>
        <v>4707.810616302188</v>
      </c>
      <c r="L55" s="455">
        <f>L57/503*B55</f>
        <v>0</v>
      </c>
      <c r="M55" s="455">
        <f>M57/503*B55</f>
        <v>0</v>
      </c>
      <c r="N55" s="455">
        <f>N57/503*B55</f>
        <v>994.0357852882704</v>
      </c>
      <c r="O55" s="455">
        <f>O57/503*B55</f>
        <v>2789.2331212723657</v>
      </c>
      <c r="P55" s="455">
        <f>P57/503*B55</f>
        <v>238.5685884691849</v>
      </c>
      <c r="Q55" s="455">
        <f>Q57/503*B55</f>
        <v>159.04572564612326</v>
      </c>
      <c r="R55" s="455">
        <f>SUM(D55:Q55)</f>
        <v>148653.91650779324</v>
      </c>
      <c r="S55" s="455">
        <f t="shared" si="5"/>
        <v>148653.91650779324</v>
      </c>
      <c r="T55" s="282"/>
    </row>
    <row r="56" spans="1:20" s="326" customFormat="1" ht="99.75" customHeight="1">
      <c r="A56" s="452" t="s">
        <v>851</v>
      </c>
      <c r="B56" s="282">
        <v>20</v>
      </c>
      <c r="C56" s="282" t="s">
        <v>477</v>
      </c>
      <c r="D56" s="455">
        <f>(D57)/503*B56</f>
        <v>2165884.6918489067</v>
      </c>
      <c r="E56" s="455">
        <f>E57/503*B56</f>
        <v>171686.67992047715</v>
      </c>
      <c r="F56" s="455">
        <f>F57/503*B56</f>
        <v>78846.9184890656</v>
      </c>
      <c r="G56" s="455">
        <f>(G57-0)/503*B56</f>
        <v>360786.79934075545</v>
      </c>
      <c r="H56" s="455">
        <f>H57/503*B56</f>
        <v>0</v>
      </c>
      <c r="I56" s="455">
        <f>I57/554*G56</f>
        <v>0</v>
      </c>
      <c r="J56" s="455">
        <f>J57/503*B56</f>
        <v>18099.363817097415</v>
      </c>
      <c r="K56" s="455">
        <f>K57/503*B56</f>
        <v>94156.21232604375</v>
      </c>
      <c r="L56" s="455">
        <f>L57/503*B56</f>
        <v>0</v>
      </c>
      <c r="M56" s="455">
        <f>M57/503*B56</f>
        <v>0</v>
      </c>
      <c r="N56" s="455">
        <f>N57/503*B56</f>
        <v>19880.715705765408</v>
      </c>
      <c r="O56" s="455">
        <f>O57/503*B56</f>
        <v>55784.66242544731</v>
      </c>
      <c r="P56" s="455">
        <f>P57/503*B56</f>
        <v>4771.371769383698</v>
      </c>
      <c r="Q56" s="455">
        <f>Q57/503*B56</f>
        <v>3180.9145129224653</v>
      </c>
      <c r="R56" s="455">
        <f>SUM(D56:Q56)+0.02</f>
        <v>2973078.3501558653</v>
      </c>
      <c r="S56" s="455">
        <f t="shared" si="5"/>
        <v>148653.91750779326</v>
      </c>
      <c r="T56" s="282"/>
    </row>
    <row r="57" spans="1:20" s="273" customFormat="1" ht="21" customHeight="1">
      <c r="A57" s="278" t="s">
        <v>478</v>
      </c>
      <c r="B57" s="279"/>
      <c r="C57" s="279"/>
      <c r="D57" s="280">
        <f>'Областной бюджет'!H401+'Областной бюджет'!G426</f>
        <v>54472000</v>
      </c>
      <c r="E57" s="280">
        <f>'Областной бюджет'!G480</f>
        <v>4317920</v>
      </c>
      <c r="F57" s="280">
        <f>'Областной бюджет'!F473+'Областной бюджет'!G481-'Областной бюджет'!G480+'Областной бюджет'!G504+'Областной бюджет'!G545+'Областной бюджет'!G550</f>
        <v>1983000</v>
      </c>
      <c r="G57" s="280">
        <f>'Местный бюджет'!H470+'Местный бюджет'!G495</f>
        <v>9073788.003419999</v>
      </c>
      <c r="H57" s="280">
        <v>0</v>
      </c>
      <c r="I57" s="280">
        <v>0</v>
      </c>
      <c r="J57" s="280">
        <f>'Местный бюджет'!G545</f>
        <v>455199</v>
      </c>
      <c r="K57" s="280">
        <f>'Местный бюджет'!G552</f>
        <v>2368028.74</v>
      </c>
      <c r="L57" s="280">
        <f>'Раздел 1. Поступления и выплаты'!E95</f>
        <v>0</v>
      </c>
      <c r="M57" s="280">
        <f>'Раздел 1. Поступления и выплаты'!E240+'Раздел 1. Поступления и выплаты'!E241+'Раздел 1. Поступления и выплаты'!E242+'Раздел 1. Поступления и выплаты'!E244+'Раздел 1. Поступления и выплаты'!E246</f>
        <v>0</v>
      </c>
      <c r="N57" s="280">
        <f>'Местный бюджет'!G519</f>
        <v>500000</v>
      </c>
      <c r="O57" s="280">
        <f>'Местный бюджет'!G520+'Местный бюджет'!G521</f>
        <v>1402984.26</v>
      </c>
      <c r="P57" s="280">
        <f>'Местный бюджет'!G523+'Местный бюджет'!G524</f>
        <v>120000</v>
      </c>
      <c r="Q57" s="280">
        <f>'Местный бюджет'!G525</f>
        <v>80000</v>
      </c>
      <c r="R57" s="281">
        <f>R46+R47+R48+R49+R50+R51+R52+R53+R54+R55+R56</f>
        <v>74772920.00342001</v>
      </c>
      <c r="S57" s="279"/>
      <c r="T57" s="279">
        <v>0</v>
      </c>
    </row>
    <row r="58" spans="1:20" s="273" customFormat="1" ht="27.75" customHeight="1">
      <c r="A58" s="275"/>
      <c r="B58" s="275"/>
      <c r="C58" s="275"/>
      <c r="D58" s="275"/>
      <c r="E58" s="275"/>
      <c r="F58" s="275"/>
      <c r="G58" s="275"/>
      <c r="H58" s="275"/>
      <c r="I58" s="275"/>
      <c r="J58" s="275"/>
      <c r="K58" s="275"/>
      <c r="L58" s="275"/>
      <c r="M58" s="275"/>
      <c r="N58" s="275"/>
      <c r="O58" s="275"/>
      <c r="P58" s="275"/>
      <c r="Q58" s="275"/>
      <c r="R58" s="275"/>
      <c r="S58" s="275"/>
      <c r="T58" s="275"/>
    </row>
    <row r="59" spans="1:20" s="273" customFormat="1" ht="38.25" customHeight="1">
      <c r="A59" s="283"/>
      <c r="B59" s="283"/>
      <c r="C59" s="283"/>
      <c r="D59" s="283"/>
      <c r="E59" s="283"/>
      <c r="F59" s="283"/>
      <c r="G59" s="283"/>
      <c r="H59" s="283"/>
      <c r="I59" s="283"/>
      <c r="J59" s="283"/>
      <c r="K59" s="283"/>
      <c r="L59" s="283"/>
      <c r="M59" s="283"/>
      <c r="N59" s="283"/>
      <c r="O59" s="283"/>
      <c r="P59" s="283"/>
      <c r="Q59" s="283"/>
      <c r="R59" s="283"/>
      <c r="S59" s="275"/>
      <c r="T59" s="275"/>
    </row>
    <row r="60" spans="1:20" s="273" customFormat="1" ht="15">
      <c r="A60" s="284"/>
      <c r="B60" s="285"/>
      <c r="C60" s="285"/>
      <c r="D60" s="285"/>
      <c r="E60" s="285"/>
      <c r="F60" s="285"/>
      <c r="G60" s="286" t="s">
        <v>480</v>
      </c>
      <c r="H60" s="286"/>
      <c r="I60" s="286"/>
      <c r="J60" s="286"/>
      <c r="K60" s="287"/>
      <c r="L60" s="287"/>
      <c r="M60" s="287"/>
      <c r="N60" s="286"/>
      <c r="O60" s="477" t="s">
        <v>481</v>
      </c>
      <c r="P60" s="477"/>
      <c r="Q60" s="477"/>
      <c r="R60" s="477"/>
      <c r="S60" s="275"/>
      <c r="T60" s="275"/>
    </row>
    <row r="61" spans="1:20" s="273" customFormat="1" ht="15">
      <c r="A61" s="284"/>
      <c r="B61" s="285"/>
      <c r="C61" s="285"/>
      <c r="D61" s="285"/>
      <c r="E61" s="285" t="s">
        <v>482</v>
      </c>
      <c r="F61" s="285"/>
      <c r="G61" s="285"/>
      <c r="H61" s="285"/>
      <c r="I61" s="285"/>
      <c r="J61" s="285"/>
      <c r="K61" s="474" t="s">
        <v>211</v>
      </c>
      <c r="L61" s="474"/>
      <c r="M61" s="474"/>
      <c r="N61" s="294"/>
      <c r="O61" s="476" t="s">
        <v>487</v>
      </c>
      <c r="P61" s="476"/>
      <c r="Q61" s="476"/>
      <c r="R61" s="476"/>
      <c r="S61" s="275"/>
      <c r="T61" s="275"/>
    </row>
    <row r="62" spans="1:20" s="273" customFormat="1" ht="44.25" customHeight="1">
      <c r="A62" s="295" t="str">
        <f>S4</f>
        <v>22.12.2023</v>
      </c>
      <c r="B62" s="286"/>
      <c r="C62" s="286"/>
      <c r="D62" s="286"/>
      <c r="E62" s="288"/>
      <c r="F62" s="285"/>
      <c r="G62" s="286"/>
      <c r="H62" s="288"/>
      <c r="I62" s="288"/>
      <c r="J62" s="288"/>
      <c r="K62" s="288"/>
      <c r="L62" s="288"/>
      <c r="M62" s="288"/>
      <c r="N62" s="288"/>
      <c r="O62" s="288"/>
      <c r="P62" s="288"/>
      <c r="Q62" s="288"/>
      <c r="R62" s="288"/>
      <c r="S62" s="275"/>
      <c r="T62" s="275"/>
    </row>
    <row r="63" spans="1:20" s="273" customFormat="1" ht="15">
      <c r="A63" s="285"/>
      <c r="B63" s="285"/>
      <c r="C63" s="285"/>
      <c r="D63" s="285"/>
      <c r="E63" s="285"/>
      <c r="F63" s="285"/>
      <c r="G63" s="286" t="s">
        <v>483</v>
      </c>
      <c r="H63" s="286"/>
      <c r="I63" s="286"/>
      <c r="J63" s="286"/>
      <c r="K63" s="287"/>
      <c r="L63" s="287"/>
      <c r="M63" s="287"/>
      <c r="N63" s="286"/>
      <c r="O63" s="477" t="s">
        <v>484</v>
      </c>
      <c r="P63" s="477"/>
      <c r="Q63" s="477"/>
      <c r="R63" s="477"/>
      <c r="S63" s="275"/>
      <c r="T63" s="275"/>
    </row>
    <row r="64" spans="1:20" s="273" customFormat="1" ht="15">
      <c r="A64" s="283"/>
      <c r="B64" s="283"/>
      <c r="C64" s="283"/>
      <c r="D64" s="283"/>
      <c r="E64" s="283"/>
      <c r="F64" s="283"/>
      <c r="G64" s="283"/>
      <c r="H64" s="283"/>
      <c r="I64" s="283"/>
      <c r="J64" s="283"/>
      <c r="K64" s="474" t="s">
        <v>211</v>
      </c>
      <c r="L64" s="474"/>
      <c r="M64" s="474"/>
      <c r="N64" s="275"/>
      <c r="O64" s="476" t="s">
        <v>488</v>
      </c>
      <c r="P64" s="476"/>
      <c r="Q64" s="476"/>
      <c r="R64" s="476"/>
      <c r="S64" s="275"/>
      <c r="T64" s="275"/>
    </row>
    <row r="65" spans="1:20" s="273" customFormat="1" ht="41.25" customHeight="1">
      <c r="A65" s="283"/>
      <c r="B65" s="283"/>
      <c r="C65" s="283"/>
      <c r="D65" s="283"/>
      <c r="E65" s="283"/>
      <c r="F65" s="283"/>
      <c r="G65" s="283"/>
      <c r="H65" s="283"/>
      <c r="I65" s="283"/>
      <c r="J65" s="283"/>
      <c r="K65" s="283"/>
      <c r="L65" s="283"/>
      <c r="M65" s="283"/>
      <c r="N65" s="283"/>
      <c r="O65" s="283"/>
      <c r="P65" s="283"/>
      <c r="Q65" s="283"/>
      <c r="R65" s="283"/>
      <c r="S65" s="275"/>
      <c r="T65" s="275"/>
    </row>
    <row r="66" spans="1:20" s="273" customFormat="1" ht="15">
      <c r="A66" s="283"/>
      <c r="B66" s="283"/>
      <c r="C66" s="283"/>
      <c r="D66" s="283"/>
      <c r="E66" s="283"/>
      <c r="F66" s="283"/>
      <c r="G66" s="283"/>
      <c r="H66" s="283"/>
      <c r="I66" s="283"/>
      <c r="J66" s="283"/>
      <c r="K66" s="283"/>
      <c r="L66" s="283"/>
      <c r="M66" s="283"/>
      <c r="N66" s="283"/>
      <c r="O66" s="283"/>
      <c r="P66" s="283"/>
      <c r="Q66" s="283"/>
      <c r="R66" s="283"/>
      <c r="S66" s="275"/>
      <c r="T66" s="275"/>
    </row>
    <row r="67" spans="1:20" s="273" customFormat="1" ht="12.75">
      <c r="A67" s="275"/>
      <c r="B67" s="275"/>
      <c r="C67" s="275"/>
      <c r="D67" s="275"/>
      <c r="E67" s="275"/>
      <c r="F67" s="275"/>
      <c r="G67" s="275"/>
      <c r="H67" s="275"/>
      <c r="I67" s="275"/>
      <c r="J67" s="275"/>
      <c r="K67" s="275"/>
      <c r="L67" s="275"/>
      <c r="M67" s="275"/>
      <c r="N67" s="275"/>
      <c r="O67" s="275"/>
      <c r="P67" s="275"/>
      <c r="Q67" s="275"/>
      <c r="R67" s="275"/>
      <c r="S67" s="275"/>
      <c r="T67" s="275"/>
    </row>
    <row r="68" spans="1:20" s="273" customFormat="1" ht="14.25">
      <c r="A68"/>
      <c r="B68"/>
      <c r="C68"/>
      <c r="D68"/>
      <c r="E68"/>
      <c r="F68"/>
      <c r="G68"/>
      <c r="H68"/>
      <c r="I68"/>
      <c r="J68"/>
      <c r="K68"/>
      <c r="L68"/>
      <c r="M68"/>
      <c r="N68"/>
      <c r="O68"/>
      <c r="P68"/>
      <c r="Q68"/>
      <c r="R68"/>
      <c r="S68"/>
      <c r="T68"/>
    </row>
    <row r="69" spans="1:20" s="273" customFormat="1" ht="14.25">
      <c r="A69"/>
      <c r="B69"/>
      <c r="C69"/>
      <c r="D69"/>
      <c r="E69"/>
      <c r="F69"/>
      <c r="G69"/>
      <c r="H69"/>
      <c r="I69"/>
      <c r="J69"/>
      <c r="K69"/>
      <c r="L69"/>
      <c r="M69"/>
      <c r="N69"/>
      <c r="O69"/>
      <c r="P69"/>
      <c r="Q69"/>
      <c r="R69"/>
      <c r="S69"/>
      <c r="T69"/>
    </row>
    <row r="70" spans="1:20" s="273" customFormat="1" ht="14.25">
      <c r="A70"/>
      <c r="B70"/>
      <c r="C70"/>
      <c r="D70"/>
      <c r="E70"/>
      <c r="F70"/>
      <c r="G70"/>
      <c r="H70"/>
      <c r="I70"/>
      <c r="J70"/>
      <c r="K70"/>
      <c r="L70"/>
      <c r="M70"/>
      <c r="N70"/>
      <c r="O70"/>
      <c r="P70"/>
      <c r="Q70"/>
      <c r="R70"/>
      <c r="S70"/>
      <c r="T70"/>
    </row>
    <row r="71" spans="1:20" s="273" customFormat="1" ht="17.25" customHeight="1">
      <c r="A71"/>
      <c r="B71"/>
      <c r="C71"/>
      <c r="D71"/>
      <c r="E71"/>
      <c r="F71"/>
      <c r="G71"/>
      <c r="H71"/>
      <c r="I71"/>
      <c r="J71"/>
      <c r="K71"/>
      <c r="L71"/>
      <c r="M71"/>
      <c r="N71"/>
      <c r="O71"/>
      <c r="P71"/>
      <c r="Q71"/>
      <c r="R71"/>
      <c r="S71"/>
      <c r="T71"/>
    </row>
    <row r="72" spans="1:20" s="273" customFormat="1" ht="21" customHeight="1">
      <c r="A72"/>
      <c r="B72"/>
      <c r="C72"/>
      <c r="D72"/>
      <c r="E72"/>
      <c r="F72"/>
      <c r="G72"/>
      <c r="H72"/>
      <c r="I72"/>
      <c r="J72"/>
      <c r="K72"/>
      <c r="L72"/>
      <c r="M72"/>
      <c r="N72"/>
      <c r="O72"/>
      <c r="P72"/>
      <c r="Q72"/>
      <c r="R72"/>
      <c r="S72"/>
      <c r="T72"/>
    </row>
    <row r="73" spans="1:20" s="273" customFormat="1" ht="27.75" customHeight="1">
      <c r="A73"/>
      <c r="B73"/>
      <c r="C73"/>
      <c r="D73"/>
      <c r="E73"/>
      <c r="F73"/>
      <c r="G73"/>
      <c r="H73"/>
      <c r="I73"/>
      <c r="J73"/>
      <c r="K73"/>
      <c r="L73"/>
      <c r="M73"/>
      <c r="N73"/>
      <c r="O73"/>
      <c r="P73"/>
      <c r="Q73"/>
      <c r="R73"/>
      <c r="S73"/>
      <c r="T73"/>
    </row>
    <row r="74" spans="1:20" s="273" customFormat="1" ht="43.5" customHeight="1">
      <c r="A74"/>
      <c r="B74"/>
      <c r="C74"/>
      <c r="D74"/>
      <c r="E74"/>
      <c r="F74"/>
      <c r="G74"/>
      <c r="H74"/>
      <c r="I74"/>
      <c r="J74"/>
      <c r="K74"/>
      <c r="L74"/>
      <c r="M74"/>
      <c r="N74"/>
      <c r="O74"/>
      <c r="P74"/>
      <c r="Q74"/>
      <c r="R74"/>
      <c r="S74"/>
      <c r="T74"/>
    </row>
    <row r="75" spans="1:20" s="273" customFormat="1" ht="48.75" customHeight="1">
      <c r="A75"/>
      <c r="B75"/>
      <c r="C75"/>
      <c r="D75"/>
      <c r="E75"/>
      <c r="F75"/>
      <c r="G75"/>
      <c r="H75"/>
      <c r="I75"/>
      <c r="J75"/>
      <c r="K75"/>
      <c r="L75"/>
      <c r="M75"/>
      <c r="N75"/>
      <c r="O75"/>
      <c r="P75"/>
      <c r="Q75"/>
      <c r="R75"/>
      <c r="S75"/>
      <c r="T75"/>
    </row>
    <row r="76" spans="1:20" s="273" customFormat="1" ht="14.25">
      <c r="A76"/>
      <c r="B76"/>
      <c r="C76"/>
      <c r="D76"/>
      <c r="E76"/>
      <c r="F76"/>
      <c r="G76"/>
      <c r="H76"/>
      <c r="I76"/>
      <c r="J76"/>
      <c r="K76"/>
      <c r="L76"/>
      <c r="M76"/>
      <c r="N76"/>
      <c r="O76"/>
      <c r="P76"/>
      <c r="Q76"/>
      <c r="R76"/>
      <c r="S76"/>
      <c r="T76"/>
    </row>
    <row r="77" spans="1:20" s="273" customFormat="1" ht="38.25" customHeight="1">
      <c r="A77"/>
      <c r="B77"/>
      <c r="C77"/>
      <c r="D77"/>
      <c r="E77"/>
      <c r="F77"/>
      <c r="G77"/>
      <c r="H77"/>
      <c r="I77"/>
      <c r="J77"/>
      <c r="K77"/>
      <c r="L77"/>
      <c r="M77"/>
      <c r="N77"/>
      <c r="O77"/>
      <c r="P77"/>
      <c r="Q77"/>
      <c r="R77"/>
      <c r="S77"/>
      <c r="T77"/>
    </row>
    <row r="78" spans="1:20" s="273" customFormat="1" ht="14.25">
      <c r="A78"/>
      <c r="B78"/>
      <c r="C78"/>
      <c r="D78"/>
      <c r="E78"/>
      <c r="F78"/>
      <c r="G78"/>
      <c r="H78"/>
      <c r="I78"/>
      <c r="J78"/>
      <c r="K78"/>
      <c r="L78"/>
      <c r="M78"/>
      <c r="N78"/>
      <c r="O78"/>
      <c r="P78"/>
      <c r="Q78"/>
      <c r="R78"/>
      <c r="S78"/>
      <c r="T78"/>
    </row>
    <row r="79" spans="1:20" s="273" customFormat="1" ht="14.25">
      <c r="A79"/>
      <c r="B79"/>
      <c r="C79"/>
      <c r="D79"/>
      <c r="E79"/>
      <c r="F79"/>
      <c r="G79"/>
      <c r="H79"/>
      <c r="I79"/>
      <c r="J79"/>
      <c r="K79"/>
      <c r="L79"/>
      <c r="M79"/>
      <c r="N79"/>
      <c r="O79"/>
      <c r="P79"/>
      <c r="Q79"/>
      <c r="R79"/>
      <c r="S79"/>
      <c r="T79"/>
    </row>
    <row r="80" spans="1:20" s="273" customFormat="1" ht="14.25">
      <c r="A80"/>
      <c r="B80"/>
      <c r="C80"/>
      <c r="D80"/>
      <c r="E80"/>
      <c r="F80"/>
      <c r="G80"/>
      <c r="H80"/>
      <c r="I80"/>
      <c r="J80"/>
      <c r="K80"/>
      <c r="L80"/>
      <c r="M80"/>
      <c r="N80"/>
      <c r="O80"/>
      <c r="P80"/>
      <c r="Q80"/>
      <c r="R80"/>
      <c r="S80"/>
      <c r="T80"/>
    </row>
    <row r="81" spans="1:20" s="273" customFormat="1" ht="14.25">
      <c r="A81"/>
      <c r="B81"/>
      <c r="C81"/>
      <c r="D81"/>
      <c r="E81"/>
      <c r="F81"/>
      <c r="G81"/>
      <c r="H81"/>
      <c r="I81"/>
      <c r="J81"/>
      <c r="K81"/>
      <c r="L81"/>
      <c r="M81"/>
      <c r="N81"/>
      <c r="O81"/>
      <c r="P81"/>
      <c r="Q81"/>
      <c r="R81"/>
      <c r="S81"/>
      <c r="T81"/>
    </row>
    <row r="82" spans="1:20" s="273" customFormat="1" ht="14.25">
      <c r="A82"/>
      <c r="B82"/>
      <c r="C82"/>
      <c r="D82"/>
      <c r="E82"/>
      <c r="F82"/>
      <c r="G82"/>
      <c r="H82"/>
      <c r="I82"/>
      <c r="J82"/>
      <c r="K82"/>
      <c r="L82"/>
      <c r="M82"/>
      <c r="N82"/>
      <c r="O82"/>
      <c r="P82"/>
      <c r="Q82"/>
      <c r="R82"/>
      <c r="S82"/>
      <c r="T82"/>
    </row>
    <row r="83" spans="1:20" s="273" customFormat="1" ht="14.25">
      <c r="A83"/>
      <c r="B83"/>
      <c r="C83"/>
      <c r="D83"/>
      <c r="E83"/>
      <c r="F83"/>
      <c r="G83"/>
      <c r="H83"/>
      <c r="I83"/>
      <c r="J83"/>
      <c r="K83"/>
      <c r="L83"/>
      <c r="M83"/>
      <c r="N83"/>
      <c r="O83"/>
      <c r="P83"/>
      <c r="Q83"/>
      <c r="R83"/>
      <c r="S83"/>
      <c r="T83"/>
    </row>
    <row r="84" spans="1:20" s="273" customFormat="1" ht="14.25">
      <c r="A84"/>
      <c r="B84"/>
      <c r="C84"/>
      <c r="D84"/>
      <c r="E84"/>
      <c r="F84"/>
      <c r="G84"/>
      <c r="H84"/>
      <c r="I84"/>
      <c r="J84"/>
      <c r="K84"/>
      <c r="L84"/>
      <c r="M84"/>
      <c r="N84"/>
      <c r="O84"/>
      <c r="P84"/>
      <c r="Q84"/>
      <c r="R84"/>
      <c r="S84"/>
      <c r="T84"/>
    </row>
    <row r="85" spans="1:20" s="273" customFormat="1" ht="14.25">
      <c r="A85"/>
      <c r="B85"/>
      <c r="C85"/>
      <c r="D85"/>
      <c r="E85"/>
      <c r="F85"/>
      <c r="G85"/>
      <c r="H85"/>
      <c r="I85"/>
      <c r="J85"/>
      <c r="K85"/>
      <c r="L85"/>
      <c r="M85"/>
      <c r="N85"/>
      <c r="O85"/>
      <c r="P85"/>
      <c r="Q85"/>
      <c r="R85"/>
      <c r="S85"/>
      <c r="T85"/>
    </row>
    <row r="86" spans="1:20" s="273" customFormat="1" ht="17.25" customHeight="1">
      <c r="A86"/>
      <c r="B86"/>
      <c r="C86"/>
      <c r="D86"/>
      <c r="E86"/>
      <c r="F86"/>
      <c r="G86"/>
      <c r="H86"/>
      <c r="I86"/>
      <c r="J86"/>
      <c r="K86"/>
      <c r="L86"/>
      <c r="M86"/>
      <c r="N86"/>
      <c r="O86"/>
      <c r="P86"/>
      <c r="Q86"/>
      <c r="R86"/>
      <c r="S86"/>
      <c r="T86"/>
    </row>
    <row r="87" spans="1:20" s="273" customFormat="1" ht="21" customHeight="1">
      <c r="A87"/>
      <c r="B87"/>
      <c r="C87"/>
      <c r="D87"/>
      <c r="E87"/>
      <c r="F87"/>
      <c r="G87"/>
      <c r="H87"/>
      <c r="I87"/>
      <c r="J87"/>
      <c r="K87"/>
      <c r="L87"/>
      <c r="M87"/>
      <c r="N87"/>
      <c r="O87"/>
      <c r="P87"/>
      <c r="Q87"/>
      <c r="R87"/>
      <c r="S87"/>
      <c r="T87"/>
    </row>
    <row r="88" spans="1:20" s="273" customFormat="1" ht="14.25">
      <c r="A88"/>
      <c r="B88"/>
      <c r="C88"/>
      <c r="D88"/>
      <c r="E88"/>
      <c r="F88"/>
      <c r="G88"/>
      <c r="H88"/>
      <c r="I88"/>
      <c r="J88"/>
      <c r="K88"/>
      <c r="L88"/>
      <c r="M88"/>
      <c r="N88"/>
      <c r="O88"/>
      <c r="P88"/>
      <c r="Q88"/>
      <c r="R88"/>
      <c r="S88"/>
      <c r="T88"/>
    </row>
    <row r="89" spans="1:20" s="273" customFormat="1" ht="14.25">
      <c r="A89"/>
      <c r="B89"/>
      <c r="C89"/>
      <c r="D89"/>
      <c r="E89"/>
      <c r="F89"/>
      <c r="G89"/>
      <c r="H89"/>
      <c r="I89"/>
      <c r="J89"/>
      <c r="K89"/>
      <c r="L89"/>
      <c r="M89"/>
      <c r="N89"/>
      <c r="O89"/>
      <c r="P89"/>
      <c r="Q89"/>
      <c r="R89"/>
      <c r="S89"/>
      <c r="T89"/>
    </row>
    <row r="90" spans="1:20" s="273" customFormat="1" ht="14.25">
      <c r="A90"/>
      <c r="B90"/>
      <c r="C90"/>
      <c r="D90"/>
      <c r="E90"/>
      <c r="F90"/>
      <c r="G90"/>
      <c r="H90"/>
      <c r="I90"/>
      <c r="J90"/>
      <c r="K90"/>
      <c r="L90"/>
      <c r="M90"/>
      <c r="N90"/>
      <c r="O90"/>
      <c r="P90"/>
      <c r="Q90"/>
      <c r="R90"/>
      <c r="S90"/>
      <c r="T90"/>
    </row>
    <row r="91" spans="1:20" s="273" customFormat="1" ht="14.25">
      <c r="A91"/>
      <c r="B91"/>
      <c r="C91"/>
      <c r="D91"/>
      <c r="E91"/>
      <c r="F91"/>
      <c r="G91"/>
      <c r="H91"/>
      <c r="I91"/>
      <c r="J91"/>
      <c r="K91"/>
      <c r="L91"/>
      <c r="M91"/>
      <c r="N91"/>
      <c r="O91"/>
      <c r="P91"/>
      <c r="Q91"/>
      <c r="R91"/>
      <c r="S91"/>
      <c r="T91"/>
    </row>
    <row r="92" spans="1:20" s="273" customFormat="1" ht="14.25">
      <c r="A92"/>
      <c r="B92"/>
      <c r="C92"/>
      <c r="D92"/>
      <c r="E92"/>
      <c r="F92"/>
      <c r="G92"/>
      <c r="H92"/>
      <c r="I92"/>
      <c r="J92"/>
      <c r="K92"/>
      <c r="L92"/>
      <c r="M92"/>
      <c r="N92"/>
      <c r="O92"/>
      <c r="P92"/>
      <c r="Q92"/>
      <c r="R92"/>
      <c r="S92"/>
      <c r="T92"/>
    </row>
    <row r="93" spans="1:20" s="273" customFormat="1" ht="14.25">
      <c r="A93"/>
      <c r="B93"/>
      <c r="C93"/>
      <c r="D93"/>
      <c r="E93"/>
      <c r="F93"/>
      <c r="G93"/>
      <c r="H93"/>
      <c r="I93"/>
      <c r="J93"/>
      <c r="K93"/>
      <c r="L93"/>
      <c r="M93"/>
      <c r="N93"/>
      <c r="O93"/>
      <c r="P93"/>
      <c r="Q93"/>
      <c r="R93"/>
      <c r="S93"/>
      <c r="T93"/>
    </row>
    <row r="94" spans="1:20" s="273" customFormat="1" ht="14.25">
      <c r="A94"/>
      <c r="B94"/>
      <c r="C94"/>
      <c r="D94"/>
      <c r="E94"/>
      <c r="F94"/>
      <c r="G94"/>
      <c r="H94"/>
      <c r="I94"/>
      <c r="J94"/>
      <c r="K94"/>
      <c r="L94"/>
      <c r="M94"/>
      <c r="N94"/>
      <c r="O94"/>
      <c r="P94"/>
      <c r="Q94"/>
      <c r="R94"/>
      <c r="S94"/>
      <c r="T94"/>
    </row>
    <row r="95" spans="1:20" s="273" customFormat="1" ht="14.25">
      <c r="A95"/>
      <c r="B95"/>
      <c r="C95"/>
      <c r="D95"/>
      <c r="E95"/>
      <c r="F95"/>
      <c r="G95"/>
      <c r="H95"/>
      <c r="I95"/>
      <c r="J95"/>
      <c r="K95"/>
      <c r="L95"/>
      <c r="M95"/>
      <c r="N95"/>
      <c r="O95"/>
      <c r="P95"/>
      <c r="Q95"/>
      <c r="R95"/>
      <c r="S95"/>
      <c r="T95"/>
    </row>
    <row r="96" spans="1:20" s="273" customFormat="1" ht="14.25">
      <c r="A96"/>
      <c r="B96"/>
      <c r="C96"/>
      <c r="D96"/>
      <c r="E96"/>
      <c r="F96"/>
      <c r="G96"/>
      <c r="H96"/>
      <c r="I96"/>
      <c r="J96"/>
      <c r="K96"/>
      <c r="L96"/>
      <c r="M96"/>
      <c r="N96"/>
      <c r="O96"/>
      <c r="P96"/>
      <c r="Q96"/>
      <c r="R96"/>
      <c r="S96"/>
      <c r="T96"/>
    </row>
    <row r="97" spans="1:20" s="273" customFormat="1" ht="14.25">
      <c r="A97"/>
      <c r="B97"/>
      <c r="C97"/>
      <c r="D97"/>
      <c r="E97"/>
      <c r="F97"/>
      <c r="G97"/>
      <c r="H97"/>
      <c r="I97"/>
      <c r="J97"/>
      <c r="K97"/>
      <c r="L97"/>
      <c r="M97"/>
      <c r="N97"/>
      <c r="O97"/>
      <c r="P97"/>
      <c r="Q97"/>
      <c r="R97"/>
      <c r="S97"/>
      <c r="T97"/>
    </row>
  </sheetData>
  <sheetProtection/>
  <mergeCells count="25">
    <mergeCell ref="N2:T2"/>
    <mergeCell ref="A45:T45"/>
    <mergeCell ref="C8:C9"/>
    <mergeCell ref="A10:T10"/>
    <mergeCell ref="T8:T9"/>
    <mergeCell ref="A19:T19"/>
    <mergeCell ref="S8:S9"/>
    <mergeCell ref="N1:T1"/>
    <mergeCell ref="A32:T32"/>
    <mergeCell ref="O60:R60"/>
    <mergeCell ref="K61:M61"/>
    <mergeCell ref="N3:T3"/>
    <mergeCell ref="S4:T4"/>
    <mergeCell ref="A5:T5"/>
    <mergeCell ref="A6:T6"/>
    <mergeCell ref="N8:Q8"/>
    <mergeCell ref="B8:B9"/>
    <mergeCell ref="K64:M64"/>
    <mergeCell ref="R8:R9"/>
    <mergeCell ref="O64:R64"/>
    <mergeCell ref="O63:R63"/>
    <mergeCell ref="A8:A9"/>
    <mergeCell ref="O61:R61"/>
    <mergeCell ref="D8:F8"/>
    <mergeCell ref="G8:M8"/>
  </mergeCells>
  <printOptions/>
  <pageMargins left="0.2362204724409449" right="0.2362204724409449" top="0.35433070866141736" bottom="0.35433070866141736" header="0.31496062992125984" footer="0.31496062992125984"/>
  <pageSetup fitToHeight="0"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tabColor rgb="FF7030A0"/>
  </sheetPr>
  <dimension ref="A2:L21"/>
  <sheetViews>
    <sheetView zoomScalePageLayoutView="0" workbookViewId="0" topLeftCell="A1">
      <selection activeCell="I8" sqref="I8"/>
    </sheetView>
  </sheetViews>
  <sheetFormatPr defaultColWidth="9.140625" defaultRowHeight="15"/>
  <cols>
    <col min="1" max="1" width="4.57421875" style="222" customWidth="1"/>
    <col min="2" max="2" width="8.00390625" style="222" customWidth="1"/>
    <col min="3" max="4" width="8.140625" style="222" customWidth="1"/>
    <col min="5" max="5" width="8.421875" style="222" customWidth="1"/>
    <col min="6" max="6" width="8.00390625" style="222" customWidth="1"/>
    <col min="7" max="7" width="8.421875" style="222" customWidth="1"/>
    <col min="8" max="8" width="4.57421875" style="222" customWidth="1"/>
    <col min="9" max="10" width="9.140625" style="222" customWidth="1"/>
    <col min="11" max="11" width="7.00390625" style="222" customWidth="1"/>
    <col min="12" max="12" width="23.28125" style="222" customWidth="1"/>
    <col min="13" max="13" width="3.8515625" style="222" customWidth="1"/>
    <col min="14" max="16384" width="9.140625" style="222" customWidth="1"/>
  </cols>
  <sheetData>
    <row r="2" spans="9:12" ht="37.5" customHeight="1">
      <c r="I2" s="499" t="s">
        <v>420</v>
      </c>
      <c r="J2" s="499"/>
      <c r="K2" s="499"/>
      <c r="L2" s="499"/>
    </row>
    <row r="3" spans="9:12" ht="30.75" customHeight="1">
      <c r="I3" s="500" t="s">
        <v>536</v>
      </c>
      <c r="J3" s="501"/>
      <c r="K3" s="501"/>
      <c r="L3" s="501"/>
    </row>
    <row r="4" spans="9:12" s="223" customFormat="1" ht="15.75" customHeight="1">
      <c r="I4" s="502" t="s">
        <v>421</v>
      </c>
      <c r="J4" s="502"/>
      <c r="K4" s="502"/>
      <c r="L4" s="502"/>
    </row>
    <row r="5" spans="9:12" ht="30" customHeight="1">
      <c r="I5" s="499"/>
      <c r="J5" s="499"/>
      <c r="K5" s="224"/>
      <c r="L5" s="298" t="s">
        <v>537</v>
      </c>
    </row>
    <row r="6" spans="9:12" s="225" customFormat="1" ht="14.25" customHeight="1">
      <c r="I6" s="503" t="s">
        <v>211</v>
      </c>
      <c r="J6" s="503"/>
      <c r="L6" s="299" t="s">
        <v>422</v>
      </c>
    </row>
    <row r="7" ht="15" customHeight="1"/>
    <row r="8" spans="9:12" ht="15" customHeight="1">
      <c r="I8" s="271" t="s">
        <v>961</v>
      </c>
      <c r="J8" s="271"/>
      <c r="K8" s="271"/>
      <c r="L8" s="271"/>
    </row>
    <row r="9" ht="15" customHeight="1"/>
    <row r="10" ht="12" customHeight="1"/>
    <row r="11" spans="2:12" ht="15">
      <c r="B11" s="507" t="s">
        <v>670</v>
      </c>
      <c r="C11" s="507"/>
      <c r="D11" s="507"/>
      <c r="E11" s="507"/>
      <c r="F11" s="507"/>
      <c r="G11" s="507"/>
      <c r="H11" s="507"/>
      <c r="I11" s="507"/>
      <c r="J11" s="507"/>
      <c r="K11" s="507"/>
      <c r="L11" s="507"/>
    </row>
    <row r="12" spans="1:12" ht="15" customHeight="1">
      <c r="A12" s="508" t="s">
        <v>671</v>
      </c>
      <c r="B12" s="508"/>
      <c r="C12" s="508"/>
      <c r="D12" s="508"/>
      <c r="E12" s="508"/>
      <c r="F12" s="508"/>
      <c r="G12" s="508"/>
      <c r="H12" s="508"/>
      <c r="I12" s="508"/>
      <c r="J12" s="508"/>
      <c r="K12" s="508"/>
      <c r="L12" s="508"/>
    </row>
    <row r="13" spans="2:12" ht="15">
      <c r="B13" s="226"/>
      <c r="C13" s="226"/>
      <c r="D13" s="226"/>
      <c r="E13" s="226"/>
      <c r="F13" s="226"/>
      <c r="G13" s="226"/>
      <c r="H13" s="226"/>
      <c r="I13" s="226"/>
      <c r="J13" s="226"/>
      <c r="K13" s="226"/>
      <c r="L13" s="226"/>
    </row>
    <row r="14" ht="15">
      <c r="L14" s="297" t="s">
        <v>423</v>
      </c>
    </row>
    <row r="15" spans="2:12" ht="18" customHeight="1">
      <c r="B15" s="509" t="s">
        <v>424</v>
      </c>
      <c r="C15" s="509"/>
      <c r="D15" s="509"/>
      <c r="E15" s="509"/>
      <c r="F15" s="509"/>
      <c r="G15" s="509"/>
      <c r="H15" s="509"/>
      <c r="I15" s="509"/>
      <c r="J15" s="506" t="s">
        <v>425</v>
      </c>
      <c r="K15" s="506"/>
      <c r="L15" s="272" t="str">
        <f>I8</f>
        <v>22.12.2023</v>
      </c>
    </row>
    <row r="16" spans="2:12" ht="31.5" customHeight="1">
      <c r="B16" s="509"/>
      <c r="C16" s="509"/>
      <c r="D16" s="509"/>
      <c r="E16" s="509"/>
      <c r="F16" s="509"/>
      <c r="G16" s="509"/>
      <c r="H16" s="509"/>
      <c r="I16" s="509"/>
      <c r="J16" s="506" t="s">
        <v>426</v>
      </c>
      <c r="K16" s="506"/>
      <c r="L16" s="296">
        <v>65300219</v>
      </c>
    </row>
    <row r="17" spans="2:12" ht="16.5" customHeight="1">
      <c r="B17" s="509"/>
      <c r="C17" s="509"/>
      <c r="D17" s="509"/>
      <c r="E17" s="509"/>
      <c r="F17" s="509"/>
      <c r="G17" s="509"/>
      <c r="H17" s="509"/>
      <c r="I17" s="509"/>
      <c r="J17" s="498" t="s">
        <v>427</v>
      </c>
      <c r="K17" s="498"/>
      <c r="L17" s="296">
        <v>906</v>
      </c>
    </row>
    <row r="18" spans="2:12" ht="35.25" customHeight="1">
      <c r="B18" s="504" t="s">
        <v>428</v>
      </c>
      <c r="C18" s="504"/>
      <c r="D18" s="504"/>
      <c r="E18" s="504"/>
      <c r="F18" s="504"/>
      <c r="G18" s="504"/>
      <c r="H18" s="504"/>
      <c r="I18" s="505"/>
      <c r="J18" s="506" t="s">
        <v>426</v>
      </c>
      <c r="K18" s="506"/>
      <c r="L18" s="296">
        <v>65320655</v>
      </c>
    </row>
    <row r="19" spans="2:12" ht="15.75" customHeight="1">
      <c r="B19" s="504"/>
      <c r="C19" s="504"/>
      <c r="D19" s="504"/>
      <c r="E19" s="504"/>
      <c r="F19" s="504"/>
      <c r="G19" s="504"/>
      <c r="H19" s="504"/>
      <c r="I19" s="505"/>
      <c r="J19" s="498" t="s">
        <v>429</v>
      </c>
      <c r="K19" s="498"/>
      <c r="L19" s="296">
        <v>6652010718</v>
      </c>
    </row>
    <row r="20" spans="2:12" ht="16.5" customHeight="1">
      <c r="B20" s="504"/>
      <c r="C20" s="504"/>
      <c r="D20" s="504"/>
      <c r="E20" s="504"/>
      <c r="F20" s="504"/>
      <c r="G20" s="504"/>
      <c r="H20" s="504"/>
      <c r="I20" s="505"/>
      <c r="J20" s="498" t="s">
        <v>430</v>
      </c>
      <c r="K20" s="498"/>
      <c r="L20" s="296">
        <v>668501001</v>
      </c>
    </row>
    <row r="21" spans="2:12" ht="20.25" customHeight="1">
      <c r="B21" s="227" t="s">
        <v>431</v>
      </c>
      <c r="J21" s="498" t="s">
        <v>432</v>
      </c>
      <c r="K21" s="498"/>
      <c r="L21" s="296">
        <v>383</v>
      </c>
    </row>
    <row r="22" ht="30" customHeight="1"/>
  </sheetData>
  <sheetProtection/>
  <mergeCells count="16">
    <mergeCell ref="J21:K21"/>
    <mergeCell ref="B18:I20"/>
    <mergeCell ref="J18:K18"/>
    <mergeCell ref="J19:K19"/>
    <mergeCell ref="J20:K20"/>
    <mergeCell ref="B11:L11"/>
    <mergeCell ref="A12:L12"/>
    <mergeCell ref="B15:I17"/>
    <mergeCell ref="J15:K15"/>
    <mergeCell ref="J16:K16"/>
    <mergeCell ref="J17:K17"/>
    <mergeCell ref="I2:L2"/>
    <mergeCell ref="I3:L3"/>
    <mergeCell ref="I4:L4"/>
    <mergeCell ref="I5:J5"/>
    <mergeCell ref="I6:J6"/>
  </mergeCells>
  <printOptions/>
  <pageMargins left="0.7" right="0.7"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4">
      <selection activeCell="I12" sqref="I12:M12"/>
    </sheetView>
  </sheetViews>
  <sheetFormatPr defaultColWidth="9.140625" defaultRowHeight="15"/>
  <sheetData>
    <row r="1" ht="15" thickBot="1"/>
    <row r="2" spans="2:14" ht="14.25">
      <c r="B2" s="393"/>
      <c r="C2" s="394"/>
      <c r="D2" s="394"/>
      <c r="E2" s="394"/>
      <c r="F2" s="394"/>
      <c r="G2" s="394"/>
      <c r="H2" s="394"/>
      <c r="I2" s="511"/>
      <c r="J2" s="511"/>
      <c r="K2" s="511"/>
      <c r="L2" s="511"/>
      <c r="M2" s="511"/>
      <c r="N2" s="395"/>
    </row>
    <row r="3" spans="2:14" ht="14.25">
      <c r="B3" s="396"/>
      <c r="C3" s="397"/>
      <c r="D3" s="397"/>
      <c r="E3" s="397"/>
      <c r="F3" s="397"/>
      <c r="G3" s="397"/>
      <c r="H3" s="397"/>
      <c r="I3" s="397"/>
      <c r="J3" s="397"/>
      <c r="K3" s="397"/>
      <c r="L3" s="397"/>
      <c r="M3" s="397"/>
      <c r="N3" s="398"/>
    </row>
    <row r="4" spans="2:14" ht="18">
      <c r="B4" s="512"/>
      <c r="C4" s="513"/>
      <c r="D4" s="513"/>
      <c r="E4" s="513"/>
      <c r="F4" s="513"/>
      <c r="G4" s="513"/>
      <c r="H4" s="513"/>
      <c r="I4" s="513"/>
      <c r="J4" s="513"/>
      <c r="K4" s="513"/>
      <c r="L4" s="513"/>
      <c r="M4" s="513"/>
      <c r="N4" s="398"/>
    </row>
    <row r="5" spans="2:14" ht="14.25">
      <c r="B5" s="396"/>
      <c r="C5" s="397"/>
      <c r="D5" s="397"/>
      <c r="E5" s="397"/>
      <c r="F5" s="397"/>
      <c r="G5" s="397"/>
      <c r="H5" s="397"/>
      <c r="I5" s="397"/>
      <c r="J5" s="397"/>
      <c r="K5" s="397"/>
      <c r="L5" s="397"/>
      <c r="M5" s="397"/>
      <c r="N5" s="399"/>
    </row>
    <row r="6" spans="2:14" ht="18">
      <c r="B6" s="396"/>
      <c r="C6" s="397"/>
      <c r="D6" s="397"/>
      <c r="E6" s="397"/>
      <c r="F6" s="397"/>
      <c r="G6" s="397"/>
      <c r="H6" s="397"/>
      <c r="I6" s="513" t="s">
        <v>641</v>
      </c>
      <c r="J6" s="513"/>
      <c r="K6" s="513"/>
      <c r="L6" s="513"/>
      <c r="M6" s="513"/>
      <c r="N6" s="399"/>
    </row>
    <row r="7" spans="2:14" ht="14.25">
      <c r="B7" s="396"/>
      <c r="C7" s="397"/>
      <c r="D7" s="397"/>
      <c r="E7" s="397"/>
      <c r="F7" s="397"/>
      <c r="G7" s="397"/>
      <c r="H7" s="397"/>
      <c r="I7" s="400"/>
      <c r="J7" s="400"/>
      <c r="K7" s="400"/>
      <c r="L7" s="400"/>
      <c r="M7" s="400"/>
      <c r="N7" s="399"/>
    </row>
    <row r="8" spans="2:14" ht="14.25">
      <c r="B8" s="396"/>
      <c r="C8" s="397"/>
      <c r="D8" s="397"/>
      <c r="E8" s="397"/>
      <c r="F8" s="397"/>
      <c r="G8" s="397"/>
      <c r="H8" s="397"/>
      <c r="I8" s="514" t="s">
        <v>421</v>
      </c>
      <c r="J8" s="514"/>
      <c r="K8" s="514"/>
      <c r="L8" s="514"/>
      <c r="M8" s="514"/>
      <c r="N8" s="399"/>
    </row>
    <row r="9" spans="2:14" ht="14.25">
      <c r="B9" s="396"/>
      <c r="C9" s="397"/>
      <c r="D9" s="397"/>
      <c r="E9" s="397"/>
      <c r="F9" s="397"/>
      <c r="G9" s="397"/>
      <c r="H9" s="397"/>
      <c r="I9" s="515"/>
      <c r="J9" s="515"/>
      <c r="K9" s="400"/>
      <c r="L9" s="515" t="s">
        <v>537</v>
      </c>
      <c r="M9" s="515"/>
      <c r="N9" s="399"/>
    </row>
    <row r="10" spans="2:14" ht="14.25">
      <c r="B10" s="396"/>
      <c r="C10" s="397"/>
      <c r="D10" s="397"/>
      <c r="E10" s="397"/>
      <c r="F10" s="397"/>
      <c r="G10" s="397"/>
      <c r="H10" s="397"/>
      <c r="I10" s="516" t="s">
        <v>211</v>
      </c>
      <c r="J10" s="516"/>
      <c r="K10" s="397"/>
      <c r="L10" s="516" t="s">
        <v>422</v>
      </c>
      <c r="M10" s="516"/>
      <c r="N10" s="399"/>
    </row>
    <row r="11" spans="2:14" ht="14.25">
      <c r="B11" s="396"/>
      <c r="C11" s="397"/>
      <c r="D11" s="397"/>
      <c r="E11" s="397"/>
      <c r="F11" s="397"/>
      <c r="G11" s="397"/>
      <c r="H11" s="397"/>
      <c r="I11" s="397"/>
      <c r="J11" s="397"/>
      <c r="K11" s="397"/>
      <c r="L11" s="397"/>
      <c r="M11" s="397"/>
      <c r="N11" s="399"/>
    </row>
    <row r="12" spans="2:14" ht="14.25">
      <c r="B12" s="396"/>
      <c r="C12" s="397"/>
      <c r="D12" s="397"/>
      <c r="E12" s="397"/>
      <c r="F12" s="397"/>
      <c r="G12" s="397"/>
      <c r="H12" s="397"/>
      <c r="I12" s="516" t="s">
        <v>709</v>
      </c>
      <c r="J12" s="516"/>
      <c r="K12" s="516"/>
      <c r="L12" s="516"/>
      <c r="M12" s="516"/>
      <c r="N12" s="399"/>
    </row>
    <row r="13" spans="2:14" ht="14.25">
      <c r="B13" s="396"/>
      <c r="C13" s="397"/>
      <c r="D13" s="397"/>
      <c r="E13" s="397"/>
      <c r="F13" s="397"/>
      <c r="G13" s="397"/>
      <c r="H13" s="397"/>
      <c r="I13" s="397"/>
      <c r="J13" s="397"/>
      <c r="K13" s="397"/>
      <c r="L13" s="397"/>
      <c r="M13" s="397"/>
      <c r="N13" s="399"/>
    </row>
    <row r="14" spans="2:14" ht="14.25">
      <c r="B14" s="396"/>
      <c r="C14" s="397"/>
      <c r="D14" s="397"/>
      <c r="E14" s="397"/>
      <c r="F14" s="397"/>
      <c r="G14" s="397"/>
      <c r="H14" s="397"/>
      <c r="I14" s="397"/>
      <c r="J14" s="397"/>
      <c r="K14" s="397"/>
      <c r="L14" s="397"/>
      <c r="M14" s="397"/>
      <c r="N14" s="399"/>
    </row>
    <row r="15" spans="2:14" ht="18">
      <c r="B15" s="512" t="s">
        <v>669</v>
      </c>
      <c r="C15" s="517"/>
      <c r="D15" s="517"/>
      <c r="E15" s="517"/>
      <c r="F15" s="517"/>
      <c r="G15" s="517"/>
      <c r="H15" s="517"/>
      <c r="I15" s="517"/>
      <c r="J15" s="517"/>
      <c r="K15" s="517"/>
      <c r="L15" s="517"/>
      <c r="M15" s="517"/>
      <c r="N15" s="399"/>
    </row>
    <row r="16" spans="2:14" ht="18">
      <c r="B16" s="401"/>
      <c r="C16" s="402"/>
      <c r="D16" s="402"/>
      <c r="E16" s="402"/>
      <c r="F16" s="402"/>
      <c r="G16" s="402"/>
      <c r="H16" s="402"/>
      <c r="I16" s="402"/>
      <c r="J16" s="402"/>
      <c r="K16" s="402"/>
      <c r="L16" s="402"/>
      <c r="M16" s="402"/>
      <c r="N16" s="399"/>
    </row>
    <row r="17" spans="2:14" ht="18">
      <c r="B17" s="401"/>
      <c r="C17" s="402"/>
      <c r="D17" s="402"/>
      <c r="E17" s="402"/>
      <c r="F17" s="402"/>
      <c r="G17" s="402"/>
      <c r="H17" s="402"/>
      <c r="I17" s="402"/>
      <c r="J17" s="402"/>
      <c r="K17" s="402"/>
      <c r="L17" s="402"/>
      <c r="M17" s="402"/>
      <c r="N17" s="399"/>
    </row>
    <row r="18" spans="2:14" ht="14.25">
      <c r="B18" s="396"/>
      <c r="C18" s="397"/>
      <c r="D18" s="397"/>
      <c r="E18" s="397"/>
      <c r="F18" s="397"/>
      <c r="G18" s="397"/>
      <c r="H18" s="397"/>
      <c r="I18" s="397"/>
      <c r="J18" s="397"/>
      <c r="K18" s="397"/>
      <c r="L18" s="518" t="s">
        <v>423</v>
      </c>
      <c r="M18" s="518"/>
      <c r="N18" s="399"/>
    </row>
    <row r="19" spans="2:14" ht="14.25">
      <c r="B19" s="519" t="s">
        <v>643</v>
      </c>
      <c r="C19" s="520"/>
      <c r="D19" s="520"/>
      <c r="E19" s="520"/>
      <c r="F19" s="520"/>
      <c r="G19" s="520"/>
      <c r="H19" s="520"/>
      <c r="I19" s="403"/>
      <c r="J19" s="514" t="s">
        <v>425</v>
      </c>
      <c r="K19" s="514"/>
      <c r="L19" s="521">
        <v>44552</v>
      </c>
      <c r="M19" s="510"/>
      <c r="N19" s="399"/>
    </row>
    <row r="20" spans="2:14" ht="14.25">
      <c r="B20" s="519"/>
      <c r="C20" s="520"/>
      <c r="D20" s="520"/>
      <c r="E20" s="520"/>
      <c r="F20" s="520"/>
      <c r="G20" s="520"/>
      <c r="H20" s="520"/>
      <c r="I20" s="403"/>
      <c r="J20" s="514" t="s">
        <v>426</v>
      </c>
      <c r="K20" s="514"/>
      <c r="L20" s="510">
        <v>65300218</v>
      </c>
      <c r="M20" s="510"/>
      <c r="N20" s="399"/>
    </row>
    <row r="21" spans="2:14" ht="14.25">
      <c r="B21" s="519"/>
      <c r="C21" s="520"/>
      <c r="D21" s="520"/>
      <c r="E21" s="520"/>
      <c r="F21" s="520"/>
      <c r="G21" s="520"/>
      <c r="H21" s="520"/>
      <c r="I21" s="397"/>
      <c r="J21" s="522" t="s">
        <v>642</v>
      </c>
      <c r="K21" s="522"/>
      <c r="L21" s="510">
        <v>902</v>
      </c>
      <c r="M21" s="510"/>
      <c r="N21" s="399"/>
    </row>
    <row r="22" spans="2:14" ht="14.25">
      <c r="B22" s="519" t="s">
        <v>644</v>
      </c>
      <c r="C22" s="520"/>
      <c r="D22" s="520"/>
      <c r="E22" s="520"/>
      <c r="F22" s="520"/>
      <c r="G22" s="520"/>
      <c r="H22" s="520"/>
      <c r="I22" s="403"/>
      <c r="J22" s="514" t="s">
        <v>426</v>
      </c>
      <c r="K22" s="514"/>
      <c r="L22" s="510">
        <v>65320655</v>
      </c>
      <c r="M22" s="510"/>
      <c r="N22" s="399"/>
    </row>
    <row r="23" spans="2:14" ht="14.25">
      <c r="B23" s="519"/>
      <c r="C23" s="520"/>
      <c r="D23" s="520"/>
      <c r="E23" s="520"/>
      <c r="F23" s="520"/>
      <c r="G23" s="520"/>
      <c r="H23" s="520"/>
      <c r="I23" s="397"/>
      <c r="J23" s="522" t="s">
        <v>429</v>
      </c>
      <c r="K23" s="522"/>
      <c r="L23" s="510">
        <v>6652010718</v>
      </c>
      <c r="M23" s="510"/>
      <c r="N23" s="399"/>
    </row>
    <row r="24" spans="2:14" ht="14.25">
      <c r="B24" s="519"/>
      <c r="C24" s="520"/>
      <c r="D24" s="520"/>
      <c r="E24" s="520"/>
      <c r="F24" s="520"/>
      <c r="G24" s="520"/>
      <c r="H24" s="520"/>
      <c r="I24" s="397"/>
      <c r="J24" s="522" t="s">
        <v>430</v>
      </c>
      <c r="K24" s="522"/>
      <c r="L24" s="510">
        <v>668501001</v>
      </c>
      <c r="M24" s="510"/>
      <c r="N24" s="399"/>
    </row>
    <row r="25" spans="2:14" ht="14.25">
      <c r="B25" s="396" t="s">
        <v>431</v>
      </c>
      <c r="C25" s="397"/>
      <c r="D25" s="397"/>
      <c r="E25" s="397"/>
      <c r="F25" s="397"/>
      <c r="G25" s="397"/>
      <c r="H25" s="397"/>
      <c r="I25" s="397"/>
      <c r="J25" s="522" t="s">
        <v>432</v>
      </c>
      <c r="K25" s="522"/>
      <c r="L25" s="510">
        <v>383</v>
      </c>
      <c r="M25" s="510"/>
      <c r="N25" s="399"/>
    </row>
    <row r="26" spans="2:14" ht="15" thickBot="1">
      <c r="B26" s="404"/>
      <c r="C26" s="405"/>
      <c r="D26" s="405"/>
      <c r="E26" s="405"/>
      <c r="F26" s="405"/>
      <c r="G26" s="405"/>
      <c r="H26" s="405"/>
      <c r="I26" s="405"/>
      <c r="J26" s="405"/>
      <c r="K26" s="405"/>
      <c r="L26" s="405"/>
      <c r="M26" s="405"/>
      <c r="N26" s="406"/>
    </row>
  </sheetData>
  <sheetProtection/>
  <mergeCells count="27">
    <mergeCell ref="J25:K25"/>
    <mergeCell ref="L25:M25"/>
    <mergeCell ref="J21:K21"/>
    <mergeCell ref="L21:M21"/>
    <mergeCell ref="B22:H24"/>
    <mergeCell ref="J22:K22"/>
    <mergeCell ref="L22:M22"/>
    <mergeCell ref="J23:K23"/>
    <mergeCell ref="L23:M23"/>
    <mergeCell ref="J24:K24"/>
    <mergeCell ref="L24:M24"/>
    <mergeCell ref="I10:J10"/>
    <mergeCell ref="L10:M10"/>
    <mergeCell ref="I12:M12"/>
    <mergeCell ref="B15:M15"/>
    <mergeCell ref="L18:M18"/>
    <mergeCell ref="B19:H21"/>
    <mergeCell ref="J19:K19"/>
    <mergeCell ref="L19:M19"/>
    <mergeCell ref="J20:K20"/>
    <mergeCell ref="L20:M20"/>
    <mergeCell ref="I2:M2"/>
    <mergeCell ref="B4:M4"/>
    <mergeCell ref="I6:M6"/>
    <mergeCell ref="I8:M8"/>
    <mergeCell ref="I9:J9"/>
    <mergeCell ref="L9:M9"/>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8"/>
    <pageSetUpPr fitToPage="1"/>
  </sheetPr>
  <dimension ref="A1:GE350"/>
  <sheetViews>
    <sheetView view="pageBreakPreview" zoomScale="76" zoomScaleNormal="80" zoomScaleSheetLayoutView="76" zoomScalePageLayoutView="0" workbookViewId="0" topLeftCell="A53">
      <selection activeCell="H70" sqref="H70"/>
    </sheetView>
  </sheetViews>
  <sheetFormatPr defaultColWidth="9.140625" defaultRowHeight="15"/>
  <cols>
    <col min="1" max="1" width="54.57421875" style="94" customWidth="1"/>
    <col min="2" max="2" width="8.140625" style="75" customWidth="1"/>
    <col min="3" max="3" width="22.00390625" style="59" customWidth="1"/>
    <col min="4" max="4" width="21.00390625" style="65" customWidth="1"/>
    <col min="5" max="5" width="17.7109375" style="57" customWidth="1"/>
    <col min="6" max="6" width="18.00390625" style="57" customWidth="1"/>
    <col min="7" max="7" width="19.140625" style="57" customWidth="1"/>
    <col min="8" max="8" width="18.8515625" style="57" customWidth="1"/>
    <col min="9" max="9" width="0.42578125" style="57" customWidth="1"/>
    <col min="10" max="10" width="4.8515625" style="57" hidden="1" customWidth="1"/>
    <col min="11" max="11" width="12.28125" style="2" customWidth="1"/>
    <col min="12" max="12" width="16.8515625" style="2" customWidth="1"/>
    <col min="13" max="13" width="10.57421875" style="2" bestFit="1" customWidth="1"/>
    <col min="14" max="187" width="9.140625" style="2" customWidth="1"/>
  </cols>
  <sheetData>
    <row r="1" spans="1:187" s="3" customFormat="1" ht="18.75" customHeight="1">
      <c r="A1" s="523" t="s">
        <v>433</v>
      </c>
      <c r="B1" s="523"/>
      <c r="C1" s="523"/>
      <c r="D1" s="523"/>
      <c r="E1" s="523"/>
      <c r="F1" s="523"/>
      <c r="G1" s="523"/>
      <c r="H1" s="523"/>
      <c r="I1" s="523"/>
      <c r="J1" s="523"/>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row>
    <row r="2" spans="1:187" s="3" customFormat="1" ht="20.25" customHeight="1">
      <c r="A2" s="523" t="s">
        <v>606</v>
      </c>
      <c r="B2" s="523"/>
      <c r="C2" s="523"/>
      <c r="D2" s="523"/>
      <c r="E2" s="523"/>
      <c r="F2" s="523"/>
      <c r="G2" s="523"/>
      <c r="H2" s="523"/>
      <c r="I2" s="523"/>
      <c r="J2" s="523"/>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row>
    <row r="3" spans="1:187" s="3" customFormat="1" ht="16.5" customHeight="1">
      <c r="A3" s="88"/>
      <c r="B3" s="24"/>
      <c r="C3" s="23"/>
      <c r="D3" s="63"/>
      <c r="E3" s="23"/>
      <c r="F3" s="23"/>
      <c r="G3" s="253"/>
      <c r="H3" s="260" t="str">
        <f>'Пр.1Титульный лист'!L15</f>
        <v>22.12.2023</v>
      </c>
      <c r="I3" s="56"/>
      <c r="J3" s="57"/>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row>
    <row r="4" spans="1:187" s="3" customFormat="1" ht="19.5" customHeight="1">
      <c r="A4" s="524" t="s">
        <v>0</v>
      </c>
      <c r="B4" s="527" t="s">
        <v>7</v>
      </c>
      <c r="C4" s="524" t="s">
        <v>9</v>
      </c>
      <c r="D4" s="541" t="s">
        <v>8</v>
      </c>
      <c r="E4" s="541"/>
      <c r="F4" s="541"/>
      <c r="G4" s="541"/>
      <c r="H4" s="541"/>
      <c r="I4" s="541"/>
      <c r="J4" s="541"/>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row>
    <row r="5" spans="1:187" s="3" customFormat="1" ht="17.25" customHeight="1">
      <c r="A5" s="525"/>
      <c r="B5" s="528"/>
      <c r="C5" s="525"/>
      <c r="D5" s="532" t="s">
        <v>413</v>
      </c>
      <c r="E5" s="532"/>
      <c r="F5" s="532"/>
      <c r="G5" s="532"/>
      <c r="H5" s="532"/>
      <c r="I5" s="532"/>
      <c r="J5" s="532"/>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row>
    <row r="6" spans="1:187" s="3" customFormat="1" ht="6.75" customHeight="1" hidden="1">
      <c r="A6" s="525"/>
      <c r="B6" s="528"/>
      <c r="C6" s="525"/>
      <c r="D6" s="532"/>
      <c r="E6" s="532"/>
      <c r="F6" s="532"/>
      <c r="G6" s="532"/>
      <c r="H6" s="532"/>
      <c r="I6" s="532"/>
      <c r="J6" s="532"/>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row>
    <row r="7" spans="1:187" s="3" customFormat="1" ht="14.25" customHeight="1">
      <c r="A7" s="525"/>
      <c r="B7" s="528"/>
      <c r="C7" s="525"/>
      <c r="D7" s="536" t="s">
        <v>1</v>
      </c>
      <c r="E7" s="533" t="s">
        <v>6</v>
      </c>
      <c r="F7" s="534"/>
      <c r="G7" s="534"/>
      <c r="H7" s="534"/>
      <c r="I7" s="534"/>
      <c r="J7" s="535"/>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row>
    <row r="8" spans="1:187" s="3" customFormat="1" ht="68.25" customHeight="1">
      <c r="A8" s="525"/>
      <c r="B8" s="528"/>
      <c r="C8" s="525"/>
      <c r="D8" s="537"/>
      <c r="E8" s="530" t="s">
        <v>85</v>
      </c>
      <c r="F8" s="530"/>
      <c r="G8" s="539" t="s">
        <v>87</v>
      </c>
      <c r="H8" s="524" t="s">
        <v>116</v>
      </c>
      <c r="I8" s="524" t="s">
        <v>86</v>
      </c>
      <c r="J8" s="530" t="s">
        <v>224</v>
      </c>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row>
    <row r="9" spans="1:187" s="3" customFormat="1" ht="74.25" customHeight="1">
      <c r="A9" s="526"/>
      <c r="B9" s="529"/>
      <c r="C9" s="526"/>
      <c r="D9" s="538"/>
      <c r="E9" s="28" t="s">
        <v>81</v>
      </c>
      <c r="F9" s="58" t="s">
        <v>82</v>
      </c>
      <c r="G9" s="540"/>
      <c r="H9" s="526"/>
      <c r="I9" s="526"/>
      <c r="J9" s="531"/>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row>
    <row r="10" spans="1:187" s="62" customFormat="1" ht="12.75" customHeight="1">
      <c r="A10" s="64">
        <v>1</v>
      </c>
      <c r="B10" s="33">
        <v>2</v>
      </c>
      <c r="C10" s="34">
        <v>3</v>
      </c>
      <c r="D10" s="34">
        <v>4</v>
      </c>
      <c r="E10" s="34">
        <v>5</v>
      </c>
      <c r="F10" s="34">
        <v>6</v>
      </c>
      <c r="G10" s="34">
        <v>7</v>
      </c>
      <c r="H10" s="34">
        <v>8</v>
      </c>
      <c r="I10" s="34">
        <v>9</v>
      </c>
      <c r="J10" s="119">
        <v>10</v>
      </c>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row>
    <row r="11" spans="1:187" s="1" customFormat="1" ht="15">
      <c r="A11" s="89" t="s">
        <v>89</v>
      </c>
      <c r="B11" s="13" t="s">
        <v>88</v>
      </c>
      <c r="C11" s="14" t="s">
        <v>35</v>
      </c>
      <c r="D11" s="15">
        <f>SUM(E11:J11)</f>
        <v>2357.75</v>
      </c>
      <c r="E11" s="16"/>
      <c r="F11" s="16"/>
      <c r="G11" s="16"/>
      <c r="H11" s="16">
        <f>34.32+2323.43</f>
        <v>2357.75</v>
      </c>
      <c r="I11" s="16"/>
      <c r="J11" s="16"/>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row>
    <row r="12" spans="1:187" s="1" customFormat="1" ht="15">
      <c r="A12" s="89" t="s">
        <v>90</v>
      </c>
      <c r="B12" s="17" t="s">
        <v>91</v>
      </c>
      <c r="C12" s="14" t="s">
        <v>35</v>
      </c>
      <c r="D12" s="15">
        <f>SUM(E12:J12)</f>
        <v>0</v>
      </c>
      <c r="E12" s="16"/>
      <c r="F12" s="16"/>
      <c r="G12" s="16"/>
      <c r="H12" s="16"/>
      <c r="I12" s="16"/>
      <c r="J12" s="16"/>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row>
    <row r="13" spans="1:187" s="5" customFormat="1" ht="16.5" customHeight="1">
      <c r="A13" s="18" t="s">
        <v>92</v>
      </c>
      <c r="B13" s="19" t="s">
        <v>93</v>
      </c>
      <c r="C13" s="20"/>
      <c r="D13" s="219">
        <f>SUM(E13:H13)</f>
        <v>74654869.14438</v>
      </c>
      <c r="E13" s="21">
        <f>E18</f>
        <v>13554000.00438</v>
      </c>
      <c r="F13" s="21">
        <f>F18</f>
        <v>53926760</v>
      </c>
      <c r="G13" s="21">
        <f>G25</f>
        <v>6777203</v>
      </c>
      <c r="H13" s="21">
        <f>H15+H18+H25</f>
        <v>396906.14</v>
      </c>
      <c r="I13" s="21"/>
      <c r="J13" s="120"/>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row>
    <row r="14" spans="1:187" s="60" customFormat="1" ht="15.75" customHeight="1" hidden="1">
      <c r="A14" s="39" t="s">
        <v>100</v>
      </c>
      <c r="B14" s="54"/>
      <c r="C14" s="29"/>
      <c r="D14" s="220"/>
      <c r="E14" s="55"/>
      <c r="F14" s="55"/>
      <c r="G14" s="55"/>
      <c r="H14" s="55"/>
      <c r="I14" s="55"/>
      <c r="J14" s="121"/>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row>
    <row r="15" spans="1:187" s="5" customFormat="1" ht="30.75">
      <c r="A15" s="32" t="s">
        <v>732</v>
      </c>
      <c r="B15" s="33" t="s">
        <v>94</v>
      </c>
      <c r="C15" s="34">
        <v>120</v>
      </c>
      <c r="D15" s="220">
        <f>SUM(E15:J15)</f>
        <v>18000</v>
      </c>
      <c r="E15" s="35"/>
      <c r="F15" s="35"/>
      <c r="G15" s="35"/>
      <c r="H15" s="35">
        <f>H16+H17</f>
        <v>18000</v>
      </c>
      <c r="I15" s="35"/>
      <c r="J15" s="12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row>
    <row r="16" spans="1:187" s="60" customFormat="1" ht="26.25">
      <c r="A16" s="39" t="s">
        <v>733</v>
      </c>
      <c r="B16" s="54" t="s">
        <v>714</v>
      </c>
      <c r="C16" s="29" t="s">
        <v>645</v>
      </c>
      <c r="D16" s="220">
        <f>SUM(E16:J16)</f>
        <v>18000</v>
      </c>
      <c r="E16" s="55"/>
      <c r="F16" s="55"/>
      <c r="G16" s="55"/>
      <c r="H16" s="31">
        <f>'Обоснования (расчеты) по поступ'!F14</f>
        <v>18000</v>
      </c>
      <c r="I16" s="215"/>
      <c r="J16" s="121"/>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row>
    <row r="17" spans="1:187" s="60" customFormat="1" ht="15" hidden="1">
      <c r="A17" s="39" t="s">
        <v>287</v>
      </c>
      <c r="B17" s="54"/>
      <c r="C17" s="29" t="s">
        <v>453</v>
      </c>
      <c r="D17" s="220"/>
      <c r="E17" s="55"/>
      <c r="F17" s="55"/>
      <c r="G17" s="55"/>
      <c r="H17" s="55"/>
      <c r="I17" s="55"/>
      <c r="J17" s="121"/>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row>
    <row r="18" spans="1:187" s="5" customFormat="1" ht="35.25" customHeight="1">
      <c r="A18" s="32" t="s">
        <v>114</v>
      </c>
      <c r="B18" s="33" t="s">
        <v>95</v>
      </c>
      <c r="C18" s="34">
        <v>130</v>
      </c>
      <c r="D18" s="220">
        <f>SUM(E18:J18)</f>
        <v>67858466.14438</v>
      </c>
      <c r="E18" s="35">
        <f>E20</f>
        <v>13554000.00438</v>
      </c>
      <c r="F18" s="35">
        <f>F20</f>
        <v>53926760</v>
      </c>
      <c r="G18" s="35"/>
      <c r="H18" s="35">
        <f>SUM(H20:H24)</f>
        <v>377706.14</v>
      </c>
      <c r="I18" s="35"/>
      <c r="J18" s="12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row>
    <row r="19" spans="1:187" s="60" customFormat="1" ht="16.5" customHeight="1" hidden="1">
      <c r="A19" s="40" t="s">
        <v>100</v>
      </c>
      <c r="B19" s="54"/>
      <c r="C19" s="29"/>
      <c r="D19" s="220"/>
      <c r="E19" s="55"/>
      <c r="F19" s="55"/>
      <c r="G19" s="55"/>
      <c r="H19" s="55"/>
      <c r="I19" s="55"/>
      <c r="J19" s="121"/>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row>
    <row r="20" spans="1:187" s="4" customFormat="1" ht="46.5" customHeight="1">
      <c r="A20" s="36" t="s">
        <v>734</v>
      </c>
      <c r="B20" s="30" t="s">
        <v>98</v>
      </c>
      <c r="C20" s="28" t="s">
        <v>364</v>
      </c>
      <c r="D20" s="220">
        <f>SUM(E20:J20)</f>
        <v>67480760.00438</v>
      </c>
      <c r="E20" s="31">
        <f>E50</f>
        <v>13554000.00438</v>
      </c>
      <c r="F20" s="31">
        <f>F50</f>
        <v>53926760</v>
      </c>
      <c r="G20" s="31"/>
      <c r="H20" s="31"/>
      <c r="I20" s="31"/>
      <c r="J20" s="12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row>
    <row r="21" spans="1:187" s="4" customFormat="1" ht="78" customHeight="1" hidden="1">
      <c r="A21" s="36" t="s">
        <v>97</v>
      </c>
      <c r="B21" s="30" t="s">
        <v>96</v>
      </c>
      <c r="C21" s="28" t="s">
        <v>364</v>
      </c>
      <c r="D21" s="220"/>
      <c r="E21" s="31"/>
      <c r="F21" s="31"/>
      <c r="G21" s="31"/>
      <c r="H21" s="31"/>
      <c r="I21" s="31"/>
      <c r="J21" s="123"/>
      <c r="K21" s="105"/>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row>
    <row r="22" spans="1:187" s="4" customFormat="1" ht="18.75" customHeight="1">
      <c r="A22" s="36" t="s">
        <v>447</v>
      </c>
      <c r="B22" s="30" t="s">
        <v>288</v>
      </c>
      <c r="C22" s="28" t="s">
        <v>364</v>
      </c>
      <c r="D22" s="220">
        <f>SUM(E22:J22)</f>
        <v>27500</v>
      </c>
      <c r="E22" s="31"/>
      <c r="F22" s="31"/>
      <c r="G22" s="31"/>
      <c r="H22" s="31">
        <f>'Обоснования (расчеты) по поступ'!F47</f>
        <v>27500</v>
      </c>
      <c r="I22" s="31"/>
      <c r="J22" s="123"/>
      <c r="K22" s="105"/>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row>
    <row r="23" spans="1:187" s="5" customFormat="1" ht="59.25" customHeight="1" hidden="1">
      <c r="A23" s="37" t="s">
        <v>113</v>
      </c>
      <c r="B23" s="33" t="s">
        <v>99</v>
      </c>
      <c r="C23" s="34">
        <v>140</v>
      </c>
      <c r="D23" s="220"/>
      <c r="E23" s="35"/>
      <c r="F23" s="35"/>
      <c r="G23" s="35"/>
      <c r="H23" s="35"/>
      <c r="I23" s="35"/>
      <c r="J23" s="122"/>
      <c r="K23" s="106"/>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row>
    <row r="24" spans="1:187" s="60" customFormat="1" ht="68.25" customHeight="1">
      <c r="A24" s="208" t="s">
        <v>491</v>
      </c>
      <c r="B24" s="54" t="s">
        <v>492</v>
      </c>
      <c r="C24" s="29" t="s">
        <v>364</v>
      </c>
      <c r="D24" s="220">
        <f>SUM(E24:H24)</f>
        <v>350206.14</v>
      </c>
      <c r="E24" s="55"/>
      <c r="F24" s="55"/>
      <c r="G24" s="55"/>
      <c r="H24" s="31">
        <f>'Обоснования (расчеты) по поступ'!F24</f>
        <v>350206.14</v>
      </c>
      <c r="I24" s="55"/>
      <c r="J24" s="124"/>
      <c r="K24" s="107"/>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row>
    <row r="25" spans="1:187" s="5" customFormat="1" ht="19.5" customHeight="1">
      <c r="A25" s="37" t="s">
        <v>106</v>
      </c>
      <c r="B25" s="33" t="s">
        <v>102</v>
      </c>
      <c r="C25" s="34">
        <v>150</v>
      </c>
      <c r="D25" s="220">
        <f>SUM(E25:J25)</f>
        <v>6778403</v>
      </c>
      <c r="E25" s="35"/>
      <c r="F25" s="35"/>
      <c r="G25" s="35">
        <f>G35+G36+G37+G38+G39+G40+G41</f>
        <v>6777203</v>
      </c>
      <c r="H25" s="35">
        <f>H42</f>
        <v>1200</v>
      </c>
      <c r="I25" s="35"/>
      <c r="J25" s="122"/>
      <c r="K25" s="106"/>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row>
    <row r="26" spans="1:187" s="60" customFormat="1" ht="16.5" customHeight="1" hidden="1">
      <c r="A26" s="40" t="s">
        <v>294</v>
      </c>
      <c r="B26" s="54" t="s">
        <v>104</v>
      </c>
      <c r="C26" s="29" t="s">
        <v>454</v>
      </c>
      <c r="D26" s="220"/>
      <c r="E26" s="55"/>
      <c r="F26" s="55"/>
      <c r="G26" s="55"/>
      <c r="H26" s="55"/>
      <c r="I26" s="55"/>
      <c r="J26" s="124"/>
      <c r="K26" s="107"/>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row>
    <row r="27" spans="1:187" s="60" customFormat="1" ht="16.5" customHeight="1" hidden="1">
      <c r="A27" s="40" t="s">
        <v>501</v>
      </c>
      <c r="B27" s="54"/>
      <c r="C27" s="29" t="s">
        <v>454</v>
      </c>
      <c r="D27" s="220"/>
      <c r="E27" s="55"/>
      <c r="F27" s="55"/>
      <c r="G27" s="55"/>
      <c r="H27" s="55"/>
      <c r="I27" s="55"/>
      <c r="J27" s="124"/>
      <c r="K27" s="107"/>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row>
    <row r="28" spans="1:187" s="60" customFormat="1" ht="16.5" customHeight="1" hidden="1">
      <c r="A28" s="300" t="s">
        <v>443</v>
      </c>
      <c r="B28" s="54"/>
      <c r="C28" s="29" t="s">
        <v>454</v>
      </c>
      <c r="D28" s="220"/>
      <c r="E28" s="55"/>
      <c r="F28" s="55"/>
      <c r="G28" s="55"/>
      <c r="H28" s="55"/>
      <c r="I28" s="55"/>
      <c r="J28" s="124"/>
      <c r="K28" s="107"/>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row>
    <row r="29" spans="1:187" s="60" customFormat="1" ht="16.5" customHeight="1" hidden="1">
      <c r="A29" s="40" t="s">
        <v>554</v>
      </c>
      <c r="B29" s="54"/>
      <c r="C29" s="29" t="s">
        <v>366</v>
      </c>
      <c r="D29" s="220"/>
      <c r="E29" s="55"/>
      <c r="F29" s="55"/>
      <c r="G29" s="55">
        <f>G112</f>
        <v>0</v>
      </c>
      <c r="H29" s="55"/>
      <c r="I29" s="55"/>
      <c r="J29" s="124"/>
      <c r="K29" s="107"/>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row>
    <row r="30" spans="1:187" s="60" customFormat="1" ht="27.75" customHeight="1" hidden="1">
      <c r="A30" s="40" t="s">
        <v>290</v>
      </c>
      <c r="B30" s="54" t="s">
        <v>107</v>
      </c>
      <c r="C30" s="29" t="s">
        <v>366</v>
      </c>
      <c r="D30" s="220"/>
      <c r="E30" s="55"/>
      <c r="F30" s="55"/>
      <c r="G30" s="55"/>
      <c r="H30" s="55"/>
      <c r="I30" s="55"/>
      <c r="J30" s="124"/>
      <c r="K30" s="107"/>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row>
    <row r="31" spans="1:187" s="60" customFormat="1" ht="16.5" customHeight="1" hidden="1">
      <c r="A31" s="40" t="s">
        <v>502</v>
      </c>
      <c r="B31" s="54"/>
      <c r="C31" s="29" t="s">
        <v>454</v>
      </c>
      <c r="D31" s="220"/>
      <c r="E31" s="55"/>
      <c r="F31" s="55"/>
      <c r="G31" s="55"/>
      <c r="H31" s="55"/>
      <c r="I31" s="55"/>
      <c r="J31" s="124"/>
      <c r="K31" s="107"/>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row>
    <row r="32" spans="1:187" s="60" customFormat="1" ht="16.5" customHeight="1" hidden="1">
      <c r="A32" s="40" t="s">
        <v>525</v>
      </c>
      <c r="B32" s="54"/>
      <c r="C32" s="29" t="s">
        <v>454</v>
      </c>
      <c r="D32" s="220"/>
      <c r="E32" s="55"/>
      <c r="F32" s="55"/>
      <c r="G32" s="55"/>
      <c r="H32" s="55"/>
      <c r="I32" s="55"/>
      <c r="J32" s="124"/>
      <c r="K32" s="107"/>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row>
    <row r="33" spans="1:187" s="60" customFormat="1" ht="16.5" customHeight="1" hidden="1">
      <c r="A33" s="40" t="s">
        <v>529</v>
      </c>
      <c r="B33" s="54"/>
      <c r="C33" s="29" t="s">
        <v>454</v>
      </c>
      <c r="D33" s="220"/>
      <c r="E33" s="55"/>
      <c r="F33" s="55"/>
      <c r="G33" s="55"/>
      <c r="H33" s="55"/>
      <c r="I33" s="55"/>
      <c r="J33" s="124"/>
      <c r="K33" s="107"/>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row>
    <row r="34" spans="1:187" s="60" customFormat="1" ht="30.75" customHeight="1">
      <c r="A34" s="40" t="s">
        <v>735</v>
      </c>
      <c r="B34" s="54" t="s">
        <v>716</v>
      </c>
      <c r="C34" s="29" t="s">
        <v>715</v>
      </c>
      <c r="D34" s="220">
        <v>8275968</v>
      </c>
      <c r="E34" s="55"/>
      <c r="F34" s="55"/>
      <c r="G34" s="55">
        <v>8275968</v>
      </c>
      <c r="H34" s="55"/>
      <c r="I34" s="55"/>
      <c r="J34" s="121"/>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row>
    <row r="35" spans="1:187" s="60" customFormat="1" ht="17.25" customHeight="1">
      <c r="A35" s="40" t="s">
        <v>667</v>
      </c>
      <c r="B35" s="54" t="s">
        <v>717</v>
      </c>
      <c r="C35" s="29" t="s">
        <v>366</v>
      </c>
      <c r="D35" s="220">
        <f aca="true" t="shared" si="0" ref="D35:D40">G35</f>
        <v>0</v>
      </c>
      <c r="E35" s="55"/>
      <c r="F35" s="55"/>
      <c r="G35" s="55">
        <f>G97</f>
        <v>0</v>
      </c>
      <c r="H35" s="55"/>
      <c r="I35" s="55"/>
      <c r="J35" s="124"/>
      <c r="K35" s="107"/>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row>
    <row r="36" spans="1:187" s="60" customFormat="1" ht="15.75" customHeight="1">
      <c r="A36" s="40" t="s">
        <v>685</v>
      </c>
      <c r="B36" s="54" t="s">
        <v>718</v>
      </c>
      <c r="C36" s="29" t="s">
        <v>366</v>
      </c>
      <c r="D36" s="220">
        <f t="shared" si="0"/>
        <v>2365900</v>
      </c>
      <c r="E36" s="55"/>
      <c r="F36" s="55"/>
      <c r="G36" s="55">
        <f>G51</f>
        <v>2365900</v>
      </c>
      <c r="H36" s="55"/>
      <c r="I36" s="55"/>
      <c r="J36" s="124"/>
      <c r="K36" s="107"/>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row>
    <row r="37" spans="1:187" s="60" customFormat="1" ht="15" customHeight="1">
      <c r="A37" s="40" t="s">
        <v>686</v>
      </c>
      <c r="B37" s="54" t="s">
        <v>719</v>
      </c>
      <c r="C37" s="29" t="s">
        <v>366</v>
      </c>
      <c r="D37" s="220">
        <f t="shared" si="0"/>
        <v>2101193</v>
      </c>
      <c r="E37" s="55"/>
      <c r="F37" s="55"/>
      <c r="G37" s="55">
        <f>G100</f>
        <v>2101193</v>
      </c>
      <c r="H37" s="55"/>
      <c r="I37" s="55"/>
      <c r="J37" s="124"/>
      <c r="K37" s="107"/>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row>
    <row r="38" spans="1:187" s="60" customFormat="1" ht="15.75" customHeight="1">
      <c r="A38" s="40" t="s">
        <v>687</v>
      </c>
      <c r="B38" s="54" t="s">
        <v>720</v>
      </c>
      <c r="C38" s="29" t="s">
        <v>366</v>
      </c>
      <c r="D38" s="220">
        <f t="shared" si="0"/>
        <v>113500</v>
      </c>
      <c r="E38" s="55"/>
      <c r="F38" s="55"/>
      <c r="G38" s="55">
        <f>G105</f>
        <v>113500</v>
      </c>
      <c r="H38" s="55"/>
      <c r="I38" s="55"/>
      <c r="J38" s="124"/>
      <c r="K38" s="107"/>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row>
    <row r="39" spans="1:187" s="60" customFormat="1" ht="17.25" customHeight="1">
      <c r="A39" s="40" t="s">
        <v>681</v>
      </c>
      <c r="B39" s="54" t="s">
        <v>721</v>
      </c>
      <c r="C39" s="29" t="s">
        <v>366</v>
      </c>
      <c r="D39" s="220">
        <f t="shared" si="0"/>
        <v>113500</v>
      </c>
      <c r="E39" s="55"/>
      <c r="F39" s="55"/>
      <c r="G39" s="55">
        <f>G106</f>
        <v>113500</v>
      </c>
      <c r="H39" s="55"/>
      <c r="I39" s="55"/>
      <c r="J39" s="124"/>
      <c r="K39" s="107"/>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row>
    <row r="40" spans="1:187" s="60" customFormat="1" ht="17.25" customHeight="1">
      <c r="A40" s="40" t="s">
        <v>707</v>
      </c>
      <c r="B40" s="54" t="s">
        <v>722</v>
      </c>
      <c r="C40" s="29" t="s">
        <v>699</v>
      </c>
      <c r="D40" s="220">
        <f t="shared" si="0"/>
        <v>1098110</v>
      </c>
      <c r="E40" s="55"/>
      <c r="F40" s="55"/>
      <c r="G40" s="55">
        <f>G94+G122+G136+G113+G108</f>
        <v>1098110</v>
      </c>
      <c r="H40" s="55"/>
      <c r="I40" s="55"/>
      <c r="J40" s="124"/>
      <c r="K40" s="107"/>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row>
    <row r="41" spans="1:187" s="60" customFormat="1" ht="17.25" customHeight="1">
      <c r="A41" s="40" t="s">
        <v>708</v>
      </c>
      <c r="B41" s="54" t="s">
        <v>723</v>
      </c>
      <c r="C41" s="29" t="s">
        <v>366</v>
      </c>
      <c r="D41" s="220">
        <f>G41</f>
        <v>985000</v>
      </c>
      <c r="E41" s="55"/>
      <c r="F41" s="55"/>
      <c r="G41" s="55">
        <f>G95</f>
        <v>985000</v>
      </c>
      <c r="H41" s="55"/>
      <c r="I41" s="55"/>
      <c r="J41" s="124"/>
      <c r="K41" s="107"/>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row>
    <row r="42" spans="1:187" s="60" customFormat="1" ht="18" customHeight="1">
      <c r="A42" s="40" t="s">
        <v>291</v>
      </c>
      <c r="B42" s="54" t="s">
        <v>724</v>
      </c>
      <c r="C42" s="29" t="s">
        <v>366</v>
      </c>
      <c r="D42" s="220">
        <f>H42</f>
        <v>1200</v>
      </c>
      <c r="E42" s="55"/>
      <c r="F42" s="55"/>
      <c r="G42" s="55"/>
      <c r="H42" s="55">
        <f>10000-8800</f>
        <v>1200</v>
      </c>
      <c r="I42" s="55"/>
      <c r="J42" s="124"/>
      <c r="K42" s="107"/>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row>
    <row r="43" spans="1:187" s="5" customFormat="1" ht="17.25" customHeight="1" hidden="1">
      <c r="A43" s="37" t="s">
        <v>105</v>
      </c>
      <c r="B43" s="33" t="s">
        <v>103</v>
      </c>
      <c r="C43" s="34">
        <v>180</v>
      </c>
      <c r="D43" s="220"/>
      <c r="E43" s="35"/>
      <c r="F43" s="35"/>
      <c r="G43" s="35"/>
      <c r="H43" s="35"/>
      <c r="I43" s="35"/>
      <c r="J43" s="122"/>
      <c r="K43" s="106"/>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row>
    <row r="44" spans="1:187" s="4" customFormat="1" ht="13.5" customHeight="1" hidden="1">
      <c r="A44" s="36" t="s">
        <v>293</v>
      </c>
      <c r="B44" s="30"/>
      <c r="C44" s="28" t="s">
        <v>367</v>
      </c>
      <c r="D44" s="220"/>
      <c r="E44" s="31"/>
      <c r="F44" s="31"/>
      <c r="G44" s="38"/>
      <c r="H44" s="31"/>
      <c r="I44" s="31"/>
      <c r="J44" s="12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4"/>
      <c r="DV44" s="104"/>
      <c r="DW44" s="104"/>
      <c r="DX44" s="104"/>
      <c r="DY44" s="104"/>
      <c r="DZ44" s="104"/>
      <c r="EA44" s="104"/>
      <c r="EB44" s="104"/>
      <c r="EC44" s="104"/>
      <c r="ED44" s="104"/>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row>
    <row r="45" spans="1:187" s="5" customFormat="1" ht="21" customHeight="1" hidden="1">
      <c r="A45" s="37" t="s">
        <v>108</v>
      </c>
      <c r="B45" s="33" t="s">
        <v>109</v>
      </c>
      <c r="C45" s="34">
        <v>410</v>
      </c>
      <c r="D45" s="220"/>
      <c r="E45" s="35"/>
      <c r="F45" s="35"/>
      <c r="G45" s="35"/>
      <c r="H45" s="35"/>
      <c r="I45" s="35"/>
      <c r="J45" s="12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row>
    <row r="46" spans="1:187" s="60" customFormat="1" ht="21" customHeight="1" hidden="1">
      <c r="A46" s="39" t="s">
        <v>292</v>
      </c>
      <c r="B46" s="54"/>
      <c r="C46" s="29"/>
      <c r="D46" s="220"/>
      <c r="E46" s="55"/>
      <c r="F46" s="55"/>
      <c r="G46" s="55"/>
      <c r="H46" s="55"/>
      <c r="I46" s="55"/>
      <c r="J46" s="124"/>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row>
    <row r="47" spans="1:187" s="4" customFormat="1" ht="21.75" customHeight="1" hidden="1">
      <c r="A47" s="36" t="s">
        <v>295</v>
      </c>
      <c r="B47" s="30" t="s">
        <v>110</v>
      </c>
      <c r="C47" s="28" t="s">
        <v>35</v>
      </c>
      <c r="D47" s="220"/>
      <c r="E47" s="31"/>
      <c r="F47" s="31"/>
      <c r="G47" s="31"/>
      <c r="H47" s="31"/>
      <c r="I47" s="31"/>
      <c r="J47" s="123"/>
      <c r="K47" s="104"/>
      <c r="L47" s="108"/>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row>
    <row r="48" spans="1:187" s="60" customFormat="1" ht="36.75" customHeight="1" hidden="1">
      <c r="A48" s="40" t="s">
        <v>574</v>
      </c>
      <c r="B48" s="54"/>
      <c r="C48" s="29" t="s">
        <v>573</v>
      </c>
      <c r="D48" s="220"/>
      <c r="E48" s="55"/>
      <c r="F48" s="55"/>
      <c r="G48" s="55"/>
      <c r="H48" s="55"/>
      <c r="I48" s="55"/>
      <c r="J48" s="124"/>
      <c r="K48" s="103"/>
      <c r="L48" s="109"/>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row>
    <row r="49" spans="1:187" s="5" customFormat="1" ht="33" customHeight="1" hidden="1">
      <c r="A49" s="37" t="s">
        <v>173</v>
      </c>
      <c r="B49" s="33" t="s">
        <v>112</v>
      </c>
      <c r="C49" s="34">
        <v>510</v>
      </c>
      <c r="D49" s="220"/>
      <c r="E49" s="35"/>
      <c r="F49" s="35"/>
      <c r="G49" s="35"/>
      <c r="H49" s="35"/>
      <c r="I49" s="35"/>
      <c r="J49" s="122"/>
      <c r="K49" s="102"/>
      <c r="L49" s="126"/>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row>
    <row r="50" spans="1:187" s="10" customFormat="1" ht="21.75" customHeight="1">
      <c r="A50" s="90" t="s">
        <v>115</v>
      </c>
      <c r="B50" s="41" t="s">
        <v>117</v>
      </c>
      <c r="C50" s="42" t="s">
        <v>35</v>
      </c>
      <c r="D50" s="219">
        <f>SUM(E50:H50)+0.01</f>
        <v>74650669.15438001</v>
      </c>
      <c r="E50" s="43">
        <f>E51+E68+E76</f>
        <v>13554000.00438</v>
      </c>
      <c r="F50" s="43">
        <f>F51+F68+F76</f>
        <v>53926760</v>
      </c>
      <c r="G50" s="43">
        <f>G51+G76</f>
        <v>6777203</v>
      </c>
      <c r="H50" s="43">
        <f>H51+H68+H76</f>
        <v>392706.14</v>
      </c>
      <c r="I50" s="43"/>
      <c r="J50" s="44"/>
      <c r="K50" s="110"/>
      <c r="L50" s="110"/>
      <c r="M50" s="110"/>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11"/>
      <c r="FY50" s="111"/>
      <c r="FZ50" s="111"/>
      <c r="GA50" s="111"/>
      <c r="GB50" s="111"/>
      <c r="GC50" s="111"/>
      <c r="GD50" s="111"/>
      <c r="GE50" s="111"/>
    </row>
    <row r="51" spans="1:187" s="10" customFormat="1" ht="32.25" customHeight="1">
      <c r="A51" s="91" t="s">
        <v>736</v>
      </c>
      <c r="B51" s="66" t="s">
        <v>118</v>
      </c>
      <c r="C51" s="67" t="s">
        <v>35</v>
      </c>
      <c r="D51" s="220">
        <f>SUM(E51:J51)+0.01</f>
        <v>59119600.01438</v>
      </c>
      <c r="E51" s="68">
        <f>E53+E57+E58</f>
        <v>8653100.00438</v>
      </c>
      <c r="F51" s="68">
        <f>F53+F57+F58</f>
        <v>48100600</v>
      </c>
      <c r="G51" s="68">
        <f>G53+G58</f>
        <v>2365900</v>
      </c>
      <c r="H51" s="68">
        <f>H53+H58</f>
        <v>0</v>
      </c>
      <c r="I51" s="68"/>
      <c r="J51" s="47"/>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c r="FR51" s="111"/>
      <c r="FS51" s="111"/>
      <c r="FT51" s="111"/>
      <c r="FU51" s="111"/>
      <c r="FV51" s="111"/>
      <c r="FW51" s="111"/>
      <c r="FX51" s="111"/>
      <c r="FY51" s="111"/>
      <c r="FZ51" s="111"/>
      <c r="GA51" s="111"/>
      <c r="GB51" s="111"/>
      <c r="GC51" s="111"/>
      <c r="GD51" s="111"/>
      <c r="GE51" s="111"/>
    </row>
    <row r="52" spans="1:187" s="61" customFormat="1" ht="14.25" customHeight="1">
      <c r="A52" s="73" t="s">
        <v>727</v>
      </c>
      <c r="B52" s="45" t="s">
        <v>119</v>
      </c>
      <c r="C52" s="46" t="s">
        <v>35</v>
      </c>
      <c r="D52" s="220">
        <f>D53+D57</f>
        <v>45453149.51</v>
      </c>
      <c r="E52" s="47">
        <f>E53+E57</f>
        <v>6657603.69</v>
      </c>
      <c r="F52" s="47">
        <f>F53+F57</f>
        <v>36978417.82</v>
      </c>
      <c r="G52" s="47">
        <f>G53</f>
        <v>1817128</v>
      </c>
      <c r="H52" s="47">
        <f>H53</f>
        <v>0</v>
      </c>
      <c r="I52" s="47"/>
      <c r="J52" s="47"/>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2"/>
      <c r="FT52" s="112"/>
      <c r="FU52" s="112"/>
      <c r="FV52" s="112"/>
      <c r="FW52" s="112"/>
      <c r="FX52" s="112"/>
      <c r="FY52" s="112"/>
      <c r="FZ52" s="112"/>
      <c r="GA52" s="112"/>
      <c r="GB52" s="112"/>
      <c r="GC52" s="112"/>
      <c r="GD52" s="112"/>
      <c r="GE52" s="112"/>
    </row>
    <row r="53" spans="1:10" ht="31.5" customHeight="1">
      <c r="A53" s="73" t="s">
        <v>737</v>
      </c>
      <c r="B53" s="45" t="s">
        <v>726</v>
      </c>
      <c r="C53" s="49"/>
      <c r="D53" s="220">
        <f>SUM(E53:J53)</f>
        <v>45253149.51</v>
      </c>
      <c r="E53" s="47">
        <f>'Местный бюджет'!H17</f>
        <v>6607603.69</v>
      </c>
      <c r="F53" s="47">
        <f>'Областной бюджет'!H18</f>
        <v>36828417.82</v>
      </c>
      <c r="G53" s="47">
        <f>G56</f>
        <v>1817128</v>
      </c>
      <c r="H53" s="47">
        <f>Внебюджет!H61</f>
        <v>0</v>
      </c>
      <c r="I53" s="47"/>
      <c r="J53" s="47"/>
    </row>
    <row r="54" spans="1:10" ht="19.5" customHeight="1" hidden="1">
      <c r="A54" s="313" t="s">
        <v>528</v>
      </c>
      <c r="B54" s="45" t="s">
        <v>119</v>
      </c>
      <c r="C54" s="46" t="s">
        <v>368</v>
      </c>
      <c r="D54" s="220">
        <f>SUM(E54:J54)</f>
        <v>0</v>
      </c>
      <c r="E54" s="47">
        <f>'Местный бюджет'!H20</f>
        <v>0</v>
      </c>
      <c r="F54" s="47">
        <f>'Областной бюджет'!H19</f>
        <v>0</v>
      </c>
      <c r="G54" s="47"/>
      <c r="H54" s="47"/>
      <c r="I54" s="47"/>
      <c r="J54" s="47"/>
    </row>
    <row r="55" spans="1:187" s="429" customFormat="1" ht="34.5" customHeight="1">
      <c r="A55" s="73" t="s">
        <v>738</v>
      </c>
      <c r="B55" s="45"/>
      <c r="C55" s="49" t="s">
        <v>368</v>
      </c>
      <c r="D55" s="220">
        <f>SUM(E55:J55)</f>
        <v>43436021.51</v>
      </c>
      <c r="E55" s="47">
        <f>E53</f>
        <v>6607603.69</v>
      </c>
      <c r="F55" s="47">
        <f>F53</f>
        <v>36828417.82</v>
      </c>
      <c r="G55" s="47"/>
      <c r="H55" s="47">
        <f>H53</f>
        <v>0</v>
      </c>
      <c r="I55" s="47"/>
      <c r="J55" s="47"/>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c r="BF55" s="430"/>
      <c r="BG55" s="430"/>
      <c r="BH55" s="430"/>
      <c r="BI55" s="430"/>
      <c r="BJ55" s="430"/>
      <c r="BK55" s="430"/>
      <c r="BL55" s="430"/>
      <c r="BM55" s="430"/>
      <c r="BN55" s="430"/>
      <c r="BO55" s="430"/>
      <c r="BP55" s="430"/>
      <c r="BQ55" s="430"/>
      <c r="BR55" s="430"/>
      <c r="BS55" s="430"/>
      <c r="BT55" s="430"/>
      <c r="BU55" s="430"/>
      <c r="BV55" s="430"/>
      <c r="BW55" s="430"/>
      <c r="BX55" s="430"/>
      <c r="BY55" s="430"/>
      <c r="BZ55" s="430"/>
      <c r="CA55" s="430"/>
      <c r="CB55" s="430"/>
      <c r="CC55" s="430"/>
      <c r="CD55" s="430"/>
      <c r="CE55" s="430"/>
      <c r="CF55" s="430"/>
      <c r="CG55" s="430"/>
      <c r="CH55" s="430"/>
      <c r="CI55" s="430"/>
      <c r="CJ55" s="430"/>
      <c r="CK55" s="430"/>
      <c r="CL55" s="430"/>
      <c r="CM55" s="430"/>
      <c r="CN55" s="430"/>
      <c r="CO55" s="430"/>
      <c r="CP55" s="430"/>
      <c r="CQ55" s="430"/>
      <c r="CR55" s="430"/>
      <c r="CS55" s="430"/>
      <c r="CT55" s="430"/>
      <c r="CU55" s="430"/>
      <c r="CV55" s="430"/>
      <c r="CW55" s="430"/>
      <c r="CX55" s="430"/>
      <c r="CY55" s="430"/>
      <c r="CZ55" s="430"/>
      <c r="DA55" s="430"/>
      <c r="DB55" s="430"/>
      <c r="DC55" s="430"/>
      <c r="DD55" s="430"/>
      <c r="DE55" s="430"/>
      <c r="DF55" s="430"/>
      <c r="DG55" s="430"/>
      <c r="DH55" s="430"/>
      <c r="DI55" s="430"/>
      <c r="DJ55" s="430"/>
      <c r="DK55" s="430"/>
      <c r="DL55" s="430"/>
      <c r="DM55" s="430"/>
      <c r="DN55" s="430"/>
      <c r="DO55" s="430"/>
      <c r="DP55" s="430"/>
      <c r="DQ55" s="430"/>
      <c r="DR55" s="430"/>
      <c r="DS55" s="430"/>
      <c r="DT55" s="430"/>
      <c r="DU55" s="430"/>
      <c r="DV55" s="430"/>
      <c r="DW55" s="430"/>
      <c r="DX55" s="430"/>
      <c r="DY55" s="430"/>
      <c r="DZ55" s="430"/>
      <c r="EA55" s="430"/>
      <c r="EB55" s="430"/>
      <c r="EC55" s="430"/>
      <c r="ED55" s="430"/>
      <c r="EE55" s="430"/>
      <c r="EF55" s="430"/>
      <c r="EG55" s="430"/>
      <c r="EH55" s="430"/>
      <c r="EI55" s="430"/>
      <c r="EJ55" s="430"/>
      <c r="EK55" s="430"/>
      <c r="EL55" s="430"/>
      <c r="EM55" s="430"/>
      <c r="EN55" s="430"/>
      <c r="EO55" s="430"/>
      <c r="EP55" s="430"/>
      <c r="EQ55" s="430"/>
      <c r="ER55" s="430"/>
      <c r="ES55" s="430"/>
      <c r="ET55" s="430"/>
      <c r="EU55" s="430"/>
      <c r="EV55" s="430"/>
      <c r="EW55" s="430"/>
      <c r="EX55" s="430"/>
      <c r="EY55" s="430"/>
      <c r="EZ55" s="430"/>
      <c r="FA55" s="430"/>
      <c r="FB55" s="430"/>
      <c r="FC55" s="430"/>
      <c r="FD55" s="430"/>
      <c r="FE55" s="430"/>
      <c r="FF55" s="430"/>
      <c r="FG55" s="430"/>
      <c r="FH55" s="430"/>
      <c r="FI55" s="430"/>
      <c r="FJ55" s="430"/>
      <c r="FK55" s="430"/>
      <c r="FL55" s="430"/>
      <c r="FM55" s="430"/>
      <c r="FN55" s="430"/>
      <c r="FO55" s="430"/>
      <c r="FP55" s="430"/>
      <c r="FQ55" s="430"/>
      <c r="FR55" s="430"/>
      <c r="FS55" s="430"/>
      <c r="FT55" s="430"/>
      <c r="FU55" s="430"/>
      <c r="FV55" s="430"/>
      <c r="FW55" s="430"/>
      <c r="FX55" s="430"/>
      <c r="FY55" s="430"/>
      <c r="FZ55" s="430"/>
      <c r="GA55" s="430"/>
      <c r="GB55" s="430"/>
      <c r="GC55" s="430"/>
      <c r="GD55" s="430"/>
      <c r="GE55" s="430"/>
    </row>
    <row r="56" spans="1:187" s="1" customFormat="1" ht="19.5" customHeight="1">
      <c r="A56" s="352" t="s">
        <v>688</v>
      </c>
      <c r="B56" s="51"/>
      <c r="C56" s="53" t="s">
        <v>582</v>
      </c>
      <c r="D56" s="303">
        <f>G56</f>
        <v>1817128</v>
      </c>
      <c r="E56" s="47"/>
      <c r="F56" s="47"/>
      <c r="G56" s="304">
        <f>'Иные цели'!G18</f>
        <v>1817128</v>
      </c>
      <c r="H56" s="47"/>
      <c r="I56" s="47"/>
      <c r="J56" s="47"/>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row>
    <row r="57" spans="1:10" ht="27" customHeight="1">
      <c r="A57" s="73" t="s">
        <v>369</v>
      </c>
      <c r="B57" s="48" t="s">
        <v>725</v>
      </c>
      <c r="C57" s="49" t="s">
        <v>370</v>
      </c>
      <c r="D57" s="220">
        <f>SUM(E57:J57)</f>
        <v>200000</v>
      </c>
      <c r="E57" s="47">
        <f>'Местный бюджет'!G25</f>
        <v>50000</v>
      </c>
      <c r="F57" s="47">
        <f>'Областной бюджет'!G26</f>
        <v>150000</v>
      </c>
      <c r="G57" s="47"/>
      <c r="H57" s="47"/>
      <c r="I57" s="47"/>
      <c r="J57" s="47"/>
    </row>
    <row r="58" spans="1:10" ht="48" customHeight="1">
      <c r="A58" s="73" t="s">
        <v>121</v>
      </c>
      <c r="B58" s="48" t="s">
        <v>122</v>
      </c>
      <c r="C58" s="49" t="s">
        <v>35</v>
      </c>
      <c r="D58" s="220">
        <f>SUM(E58:J58)+0.01</f>
        <v>13666450.504379999</v>
      </c>
      <c r="E58" s="47">
        <f>'Местный бюджет'!G40</f>
        <v>1995496.31438</v>
      </c>
      <c r="F58" s="47">
        <f>'Областной бюджет'!G42</f>
        <v>11122182.18</v>
      </c>
      <c r="G58" s="47">
        <f>G67</f>
        <v>548772</v>
      </c>
      <c r="H58" s="47">
        <f>Внебюджет!G76</f>
        <v>0</v>
      </c>
      <c r="I58" s="47"/>
      <c r="J58" s="47"/>
    </row>
    <row r="59" spans="1:187" s="71" customFormat="1" ht="36" customHeight="1" hidden="1">
      <c r="A59" s="91" t="s">
        <v>83</v>
      </c>
      <c r="B59" s="69" t="s">
        <v>123</v>
      </c>
      <c r="C59" s="70">
        <v>300</v>
      </c>
      <c r="D59" s="220"/>
      <c r="E59" s="68"/>
      <c r="F59" s="68"/>
      <c r="G59" s="68"/>
      <c r="H59" s="68"/>
      <c r="I59" s="68"/>
      <c r="J59" s="68"/>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row>
    <row r="60" spans="1:10" ht="70.5" customHeight="1" hidden="1">
      <c r="A60" s="73" t="s">
        <v>124</v>
      </c>
      <c r="B60" s="48" t="s">
        <v>125</v>
      </c>
      <c r="C60" s="49">
        <v>340</v>
      </c>
      <c r="D60" s="220">
        <f>SUM(E60:J60)</f>
        <v>0</v>
      </c>
      <c r="E60" s="47"/>
      <c r="F60" s="47"/>
      <c r="G60" s="47"/>
      <c r="H60" s="47"/>
      <c r="I60" s="47"/>
      <c r="J60" s="47"/>
    </row>
    <row r="61" spans="1:10" ht="93.75" customHeight="1" hidden="1">
      <c r="A61" s="73" t="s">
        <v>126</v>
      </c>
      <c r="B61" s="48" t="s">
        <v>127</v>
      </c>
      <c r="C61" s="49">
        <v>350</v>
      </c>
      <c r="D61" s="220">
        <f>SUM(E61:J61)</f>
        <v>0</v>
      </c>
      <c r="E61" s="47"/>
      <c r="F61" s="47"/>
      <c r="G61" s="47"/>
      <c r="H61" s="47"/>
      <c r="I61" s="47"/>
      <c r="J61" s="47"/>
    </row>
    <row r="62" spans="1:10" ht="50.25" customHeight="1" hidden="1">
      <c r="A62" s="73" t="s">
        <v>128</v>
      </c>
      <c r="B62" s="48" t="s">
        <v>129</v>
      </c>
      <c r="C62" s="49">
        <v>360</v>
      </c>
      <c r="D62" s="220">
        <f>SUM(E62:J62)</f>
        <v>0</v>
      </c>
      <c r="E62" s="47"/>
      <c r="F62" s="47"/>
      <c r="G62" s="47"/>
      <c r="H62" s="47"/>
      <c r="I62" s="47"/>
      <c r="J62" s="47"/>
    </row>
    <row r="63" spans="1:10" ht="23.25" customHeight="1" hidden="1">
      <c r="A63" s="313" t="s">
        <v>528</v>
      </c>
      <c r="B63" s="48" t="s">
        <v>122</v>
      </c>
      <c r="C63" s="49" t="s">
        <v>371</v>
      </c>
      <c r="D63" s="220">
        <f>SUM(E63:J63)</f>
        <v>0</v>
      </c>
      <c r="E63" s="47">
        <f>'Местный бюджет'!G47</f>
        <v>0</v>
      </c>
      <c r="F63" s="47">
        <f>'Областной бюджет'!G48</f>
        <v>0</v>
      </c>
      <c r="G63" s="47"/>
      <c r="H63" s="47"/>
      <c r="I63" s="47"/>
      <c r="J63" s="47"/>
    </row>
    <row r="64" spans="1:187" s="1" customFormat="1" ht="18.75" customHeight="1" hidden="1">
      <c r="A64" s="327" t="s">
        <v>577</v>
      </c>
      <c r="B64" s="51"/>
      <c r="C64" s="53" t="s">
        <v>583</v>
      </c>
      <c r="D64" s="303">
        <f>G64</f>
        <v>0</v>
      </c>
      <c r="E64" s="47"/>
      <c r="F64" s="47"/>
      <c r="G64" s="304"/>
      <c r="H64" s="47"/>
      <c r="I64" s="47"/>
      <c r="J64" s="47"/>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72"/>
      <c r="GB64" s="72"/>
      <c r="GC64" s="72"/>
      <c r="GD64" s="72"/>
      <c r="GE64" s="72"/>
    </row>
    <row r="65" spans="1:187" s="429" customFormat="1" ht="48" customHeight="1">
      <c r="A65" s="73" t="s">
        <v>739</v>
      </c>
      <c r="B65" s="48" t="s">
        <v>729</v>
      </c>
      <c r="C65" s="49"/>
      <c r="D65" s="220">
        <f>SUM(E65:J65)+0.01</f>
        <v>13666450.504379999</v>
      </c>
      <c r="E65" s="47">
        <f>E58</f>
        <v>1995496.31438</v>
      </c>
      <c r="F65" s="47">
        <f>F58</f>
        <v>11122182.18</v>
      </c>
      <c r="G65" s="47">
        <f>G58</f>
        <v>548772</v>
      </c>
      <c r="H65" s="47">
        <f>H58</f>
        <v>0</v>
      </c>
      <c r="I65" s="47"/>
      <c r="J65" s="47"/>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c r="BF65" s="430"/>
      <c r="BG65" s="430"/>
      <c r="BH65" s="430"/>
      <c r="BI65" s="430"/>
      <c r="BJ65" s="430"/>
      <c r="BK65" s="430"/>
      <c r="BL65" s="430"/>
      <c r="BM65" s="430"/>
      <c r="BN65" s="430"/>
      <c r="BO65" s="430"/>
      <c r="BP65" s="430"/>
      <c r="BQ65" s="430"/>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X65" s="430"/>
      <c r="CY65" s="430"/>
      <c r="CZ65" s="430"/>
      <c r="DA65" s="430"/>
      <c r="DB65" s="430"/>
      <c r="DC65" s="430"/>
      <c r="DD65" s="430"/>
      <c r="DE65" s="430"/>
      <c r="DF65" s="430"/>
      <c r="DG65" s="430"/>
      <c r="DH65" s="430"/>
      <c r="DI65" s="430"/>
      <c r="DJ65" s="430"/>
      <c r="DK65" s="430"/>
      <c r="DL65" s="430"/>
      <c r="DM65" s="430"/>
      <c r="DN65" s="430"/>
      <c r="DO65" s="430"/>
      <c r="DP65" s="430"/>
      <c r="DQ65" s="430"/>
      <c r="DR65" s="430"/>
      <c r="DS65" s="430"/>
      <c r="DT65" s="430"/>
      <c r="DU65" s="430"/>
      <c r="DV65" s="430"/>
      <c r="DW65" s="430"/>
      <c r="DX65" s="430"/>
      <c r="DY65" s="430"/>
      <c r="DZ65" s="430"/>
      <c r="EA65" s="430"/>
      <c r="EB65" s="430"/>
      <c r="EC65" s="430"/>
      <c r="ED65" s="430"/>
      <c r="EE65" s="430"/>
      <c r="EF65" s="430"/>
      <c r="EG65" s="430"/>
      <c r="EH65" s="430"/>
      <c r="EI65" s="430"/>
      <c r="EJ65" s="430"/>
      <c r="EK65" s="430"/>
      <c r="EL65" s="430"/>
      <c r="EM65" s="430"/>
      <c r="EN65" s="430"/>
      <c r="EO65" s="430"/>
      <c r="EP65" s="430"/>
      <c r="EQ65" s="430"/>
      <c r="ER65" s="430"/>
      <c r="ES65" s="430"/>
      <c r="ET65" s="430"/>
      <c r="EU65" s="430"/>
      <c r="EV65" s="430"/>
      <c r="EW65" s="430"/>
      <c r="EX65" s="430"/>
      <c r="EY65" s="430"/>
      <c r="EZ65" s="430"/>
      <c r="FA65" s="430"/>
      <c r="FB65" s="430"/>
      <c r="FC65" s="430"/>
      <c r="FD65" s="430"/>
      <c r="FE65" s="430"/>
      <c r="FF65" s="430"/>
      <c r="FG65" s="430"/>
      <c r="FH65" s="430"/>
      <c r="FI65" s="430"/>
      <c r="FJ65" s="430"/>
      <c r="FK65" s="430"/>
      <c r="FL65" s="430"/>
      <c r="FM65" s="430"/>
      <c r="FN65" s="430"/>
      <c r="FO65" s="430"/>
      <c r="FP65" s="430"/>
      <c r="FQ65" s="430"/>
      <c r="FR65" s="430"/>
      <c r="FS65" s="430"/>
      <c r="FT65" s="430"/>
      <c r="FU65" s="430"/>
      <c r="FV65" s="430"/>
      <c r="FW65" s="430"/>
      <c r="FX65" s="430"/>
      <c r="FY65" s="430"/>
      <c r="FZ65" s="430"/>
      <c r="GA65" s="430"/>
      <c r="GB65" s="430"/>
      <c r="GC65" s="430"/>
      <c r="GD65" s="430"/>
      <c r="GE65" s="430"/>
    </row>
    <row r="66" spans="1:187" s="429" customFormat="1" ht="64.5" customHeight="1">
      <c r="A66" s="73" t="s">
        <v>740</v>
      </c>
      <c r="B66" s="48"/>
      <c r="C66" s="49" t="s">
        <v>371</v>
      </c>
      <c r="D66" s="220">
        <f>SUM(E66:J66)+0.01</f>
        <v>13117678.504379999</v>
      </c>
      <c r="E66" s="47">
        <f>E65</f>
        <v>1995496.31438</v>
      </c>
      <c r="F66" s="47">
        <f>F65</f>
        <v>11122182.18</v>
      </c>
      <c r="G66" s="47"/>
      <c r="H66" s="47">
        <f>H65</f>
        <v>0</v>
      </c>
      <c r="I66" s="47"/>
      <c r="J66" s="47"/>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430"/>
      <c r="BT66" s="430"/>
      <c r="BU66" s="430"/>
      <c r="BV66" s="430"/>
      <c r="BW66" s="430"/>
      <c r="BX66" s="430"/>
      <c r="BY66" s="430"/>
      <c r="BZ66" s="430"/>
      <c r="CA66" s="430"/>
      <c r="CB66" s="430"/>
      <c r="CC66" s="430"/>
      <c r="CD66" s="430"/>
      <c r="CE66" s="430"/>
      <c r="CF66" s="430"/>
      <c r="CG66" s="430"/>
      <c r="CH66" s="430"/>
      <c r="CI66" s="430"/>
      <c r="CJ66" s="430"/>
      <c r="CK66" s="430"/>
      <c r="CL66" s="430"/>
      <c r="CM66" s="430"/>
      <c r="CN66" s="430"/>
      <c r="CO66" s="430"/>
      <c r="CP66" s="430"/>
      <c r="CQ66" s="430"/>
      <c r="CR66" s="430"/>
      <c r="CS66" s="430"/>
      <c r="CT66" s="430"/>
      <c r="CU66" s="430"/>
      <c r="CV66" s="430"/>
      <c r="CW66" s="430"/>
      <c r="CX66" s="430"/>
      <c r="CY66" s="430"/>
      <c r="CZ66" s="430"/>
      <c r="DA66" s="430"/>
      <c r="DB66" s="430"/>
      <c r="DC66" s="430"/>
      <c r="DD66" s="430"/>
      <c r="DE66" s="430"/>
      <c r="DF66" s="430"/>
      <c r="DG66" s="430"/>
      <c r="DH66" s="430"/>
      <c r="DI66" s="430"/>
      <c r="DJ66" s="430"/>
      <c r="DK66" s="430"/>
      <c r="DL66" s="430"/>
      <c r="DM66" s="430"/>
      <c r="DN66" s="430"/>
      <c r="DO66" s="430"/>
      <c r="DP66" s="430"/>
      <c r="DQ66" s="430"/>
      <c r="DR66" s="430"/>
      <c r="DS66" s="430"/>
      <c r="DT66" s="430"/>
      <c r="DU66" s="430"/>
      <c r="DV66" s="430"/>
      <c r="DW66" s="430"/>
      <c r="DX66" s="430"/>
      <c r="DY66" s="430"/>
      <c r="DZ66" s="430"/>
      <c r="EA66" s="430"/>
      <c r="EB66" s="430"/>
      <c r="EC66" s="430"/>
      <c r="ED66" s="430"/>
      <c r="EE66" s="430"/>
      <c r="EF66" s="430"/>
      <c r="EG66" s="430"/>
      <c r="EH66" s="430"/>
      <c r="EI66" s="430"/>
      <c r="EJ66" s="430"/>
      <c r="EK66" s="430"/>
      <c r="EL66" s="430"/>
      <c r="EM66" s="430"/>
      <c r="EN66" s="430"/>
      <c r="EO66" s="430"/>
      <c r="EP66" s="430"/>
      <c r="EQ66" s="430"/>
      <c r="ER66" s="430"/>
      <c r="ES66" s="430"/>
      <c r="ET66" s="430"/>
      <c r="EU66" s="430"/>
      <c r="EV66" s="430"/>
      <c r="EW66" s="430"/>
      <c r="EX66" s="430"/>
      <c r="EY66" s="430"/>
      <c r="EZ66" s="430"/>
      <c r="FA66" s="430"/>
      <c r="FB66" s="430"/>
      <c r="FC66" s="430"/>
      <c r="FD66" s="430"/>
      <c r="FE66" s="430"/>
      <c r="FF66" s="430"/>
      <c r="FG66" s="430"/>
      <c r="FH66" s="430"/>
      <c r="FI66" s="430"/>
      <c r="FJ66" s="430"/>
      <c r="FK66" s="430"/>
      <c r="FL66" s="430"/>
      <c r="FM66" s="430"/>
      <c r="FN66" s="430"/>
      <c r="FO66" s="430"/>
      <c r="FP66" s="430"/>
      <c r="FQ66" s="430"/>
      <c r="FR66" s="430"/>
      <c r="FS66" s="430"/>
      <c r="FT66" s="430"/>
      <c r="FU66" s="430"/>
      <c r="FV66" s="430"/>
      <c r="FW66" s="430"/>
      <c r="FX66" s="430"/>
      <c r="FY66" s="430"/>
      <c r="FZ66" s="430"/>
      <c r="GA66" s="430"/>
      <c r="GB66" s="430"/>
      <c r="GC66" s="430"/>
      <c r="GD66" s="430"/>
      <c r="GE66" s="430"/>
    </row>
    <row r="67" spans="1:187" s="1" customFormat="1" ht="24.75" customHeight="1">
      <c r="A67" s="352" t="s">
        <v>688</v>
      </c>
      <c r="B67" s="51"/>
      <c r="C67" s="53" t="s">
        <v>583</v>
      </c>
      <c r="D67" s="303">
        <f>G67</f>
        <v>548772</v>
      </c>
      <c r="E67" s="47"/>
      <c r="F67" s="47"/>
      <c r="G67" s="304">
        <f>'Иные цели'!H41</f>
        <v>548772</v>
      </c>
      <c r="H67" s="47"/>
      <c r="I67" s="47"/>
      <c r="J67" s="47"/>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2"/>
      <c r="FU67" s="72"/>
      <c r="FV67" s="72"/>
      <c r="FW67" s="72"/>
      <c r="FX67" s="72"/>
      <c r="FY67" s="72"/>
      <c r="FZ67" s="72"/>
      <c r="GA67" s="72"/>
      <c r="GB67" s="72"/>
      <c r="GC67" s="72"/>
      <c r="GD67" s="72"/>
      <c r="GE67" s="72"/>
    </row>
    <row r="68" spans="1:187" s="71" customFormat="1" ht="25.5" customHeight="1">
      <c r="A68" s="91" t="s">
        <v>130</v>
      </c>
      <c r="B68" s="69" t="s">
        <v>131</v>
      </c>
      <c r="C68" s="70">
        <v>850</v>
      </c>
      <c r="D68" s="220">
        <f>SUM(E68:J68)</f>
        <v>8113</v>
      </c>
      <c r="E68" s="68"/>
      <c r="F68" s="68"/>
      <c r="G68" s="68"/>
      <c r="H68" s="68">
        <f>H70+H75+H73+H72</f>
        <v>8113</v>
      </c>
      <c r="I68" s="68"/>
      <c r="J68" s="68"/>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row>
    <row r="69" spans="1:187" s="1" customFormat="1" ht="0.75" customHeight="1">
      <c r="A69" s="73" t="s">
        <v>496</v>
      </c>
      <c r="B69" s="48" t="s">
        <v>132</v>
      </c>
      <c r="C69" s="49" t="s">
        <v>594</v>
      </c>
      <c r="D69" s="220">
        <f>SUM(E69:J69)</f>
        <v>0</v>
      </c>
      <c r="E69" s="47">
        <f>'Местный бюджет'!G60</f>
        <v>0</v>
      </c>
      <c r="F69" s="47"/>
      <c r="G69" s="47"/>
      <c r="H69" s="47"/>
      <c r="I69" s="47"/>
      <c r="J69" s="47"/>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72"/>
      <c r="GB69" s="72"/>
      <c r="GC69" s="72"/>
      <c r="GD69" s="72"/>
      <c r="GE69" s="72"/>
    </row>
    <row r="70" spans="1:187" s="1" customFormat="1" ht="40.5" customHeight="1">
      <c r="A70" s="73" t="s">
        <v>741</v>
      </c>
      <c r="B70" s="48" t="s">
        <v>134</v>
      </c>
      <c r="C70" s="49" t="s">
        <v>372</v>
      </c>
      <c r="D70" s="220">
        <f>SUM(E70:J70)</f>
        <v>7113</v>
      </c>
      <c r="E70" s="47"/>
      <c r="F70" s="47"/>
      <c r="G70" s="47"/>
      <c r="H70" s="47">
        <f>Внебюджет!G102+Внебюджет!G104+Внебюджет!G105</f>
        <v>7113</v>
      </c>
      <c r="I70" s="47"/>
      <c r="J70" s="47"/>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c r="FR70" s="72"/>
      <c r="FS70" s="72"/>
      <c r="FT70" s="72"/>
      <c r="FU70" s="72"/>
      <c r="FV70" s="72"/>
      <c r="FW70" s="72"/>
      <c r="FX70" s="72"/>
      <c r="FY70" s="72"/>
      <c r="FZ70" s="72"/>
      <c r="GA70" s="72"/>
      <c r="GB70" s="72"/>
      <c r="GC70" s="72"/>
      <c r="GD70" s="72"/>
      <c r="GE70" s="72"/>
    </row>
    <row r="71" spans="1:187" s="1" customFormat="1" ht="63" customHeight="1" hidden="1">
      <c r="A71" s="73" t="s">
        <v>133</v>
      </c>
      <c r="B71" s="48" t="s">
        <v>134</v>
      </c>
      <c r="C71" s="49" t="s">
        <v>372</v>
      </c>
      <c r="D71" s="220">
        <f>H71</f>
        <v>0</v>
      </c>
      <c r="E71" s="47"/>
      <c r="F71" s="47"/>
      <c r="G71" s="47"/>
      <c r="H71" s="47"/>
      <c r="I71" s="47"/>
      <c r="J71" s="47"/>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c r="FL71" s="72"/>
      <c r="FM71" s="72"/>
      <c r="FN71" s="72"/>
      <c r="FO71" s="72"/>
      <c r="FP71" s="72"/>
      <c r="FQ71" s="72"/>
      <c r="FR71" s="72"/>
      <c r="FS71" s="72"/>
      <c r="FT71" s="72"/>
      <c r="FU71" s="72"/>
      <c r="FV71" s="72"/>
      <c r="FW71" s="72"/>
      <c r="FX71" s="72"/>
      <c r="FY71" s="72"/>
      <c r="FZ71" s="72"/>
      <c r="GA71" s="72"/>
      <c r="GB71" s="72"/>
      <c r="GC71" s="72"/>
      <c r="GD71" s="72"/>
      <c r="GE71" s="72"/>
    </row>
    <row r="72" spans="1:187" s="1" customFormat="1" ht="63" customHeight="1">
      <c r="A72" s="73"/>
      <c r="B72" s="48"/>
      <c r="C72" s="49" t="s">
        <v>789</v>
      </c>
      <c r="D72" s="220">
        <f>H72</f>
        <v>0</v>
      </c>
      <c r="E72" s="47"/>
      <c r="F72" s="47"/>
      <c r="G72" s="47"/>
      <c r="H72" s="47">
        <f>Внебюджет!G110</f>
        <v>0</v>
      </c>
      <c r="I72" s="47"/>
      <c r="J72" s="47"/>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72"/>
      <c r="GB72" s="72"/>
      <c r="GC72" s="72"/>
      <c r="GD72" s="72"/>
      <c r="GE72" s="72"/>
    </row>
    <row r="73" spans="1:187" s="1" customFormat="1" ht="30" customHeight="1">
      <c r="A73" s="73" t="s">
        <v>135</v>
      </c>
      <c r="B73" s="48" t="s">
        <v>136</v>
      </c>
      <c r="C73" s="49" t="s">
        <v>373</v>
      </c>
      <c r="D73" s="220">
        <f>H73</f>
        <v>1000</v>
      </c>
      <c r="E73" s="47"/>
      <c r="F73" s="47"/>
      <c r="G73" s="47"/>
      <c r="H73" s="47">
        <f>Внебюджет!G103+Внебюджет!G108+Внебюджет!G109</f>
        <v>1000</v>
      </c>
      <c r="I73" s="47"/>
      <c r="J73" s="47"/>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72"/>
      <c r="GB73" s="72"/>
      <c r="GC73" s="72"/>
      <c r="GD73" s="72"/>
      <c r="GE73" s="72"/>
    </row>
    <row r="74" spans="1:187" s="71" customFormat="1" ht="21" customHeight="1" hidden="1">
      <c r="A74" s="91" t="s">
        <v>141</v>
      </c>
      <c r="B74" s="69" t="s">
        <v>142</v>
      </c>
      <c r="C74" s="70" t="s">
        <v>35</v>
      </c>
      <c r="D74" s="220"/>
      <c r="E74" s="68"/>
      <c r="F74" s="68"/>
      <c r="G74" s="68"/>
      <c r="H74" s="68"/>
      <c r="I74" s="68"/>
      <c r="J74" s="68"/>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row>
    <row r="75" spans="1:187" s="1" customFormat="1" ht="17.25" customHeight="1" hidden="1">
      <c r="A75" s="73" t="s">
        <v>507</v>
      </c>
      <c r="B75" s="48" t="s">
        <v>144</v>
      </c>
      <c r="C75" s="49" t="s">
        <v>506</v>
      </c>
      <c r="D75" s="303"/>
      <c r="E75" s="47"/>
      <c r="F75" s="47"/>
      <c r="G75" s="47"/>
      <c r="H75" s="47"/>
      <c r="I75" s="47"/>
      <c r="J75" s="47"/>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row>
    <row r="76" spans="1:187" s="71" customFormat="1" ht="15">
      <c r="A76" s="91" t="s">
        <v>145</v>
      </c>
      <c r="B76" s="69" t="s">
        <v>146</v>
      </c>
      <c r="C76" s="70" t="s">
        <v>35</v>
      </c>
      <c r="D76" s="220">
        <f>SUM(E76:H76)</f>
        <v>15522956.14</v>
      </c>
      <c r="E76" s="68">
        <f>SUM(E84:E137)-E90-E116-E123-E114</f>
        <v>4900900</v>
      </c>
      <c r="F76" s="68">
        <f>SUM(F84:F137)-F90-F116-F123-F103</f>
        <v>5826160</v>
      </c>
      <c r="G76" s="68">
        <f>G81</f>
        <v>4411303</v>
      </c>
      <c r="H76" s="68">
        <f>SUM(H84:H137)-H90-H116-H123</f>
        <v>384593.14</v>
      </c>
      <c r="I76" s="68"/>
      <c r="J76" s="68"/>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row>
    <row r="77" spans="1:187" s="1" customFormat="1" ht="46.5" hidden="1">
      <c r="A77" s="73" t="s">
        <v>147</v>
      </c>
      <c r="B77" s="48" t="s">
        <v>148</v>
      </c>
      <c r="C77" s="49" t="s">
        <v>375</v>
      </c>
      <c r="D77" s="220" t="e">
        <f aca="true" t="shared" si="1" ref="D77:D137">SUM(E77:H77)</f>
        <v>#REF!</v>
      </c>
      <c r="E77" s="68">
        <f aca="true" t="shared" si="2" ref="E77:F80">SUM(E85:E124)</f>
        <v>5969606.08</v>
      </c>
      <c r="F77" s="68">
        <f t="shared" si="2"/>
        <v>11547320</v>
      </c>
      <c r="G77" s="68" t="e">
        <f>G92+G112+G120+G134+#REF!+G105</f>
        <v>#REF!</v>
      </c>
      <c r="H77" s="68">
        <f>SUM(H85:H124)</f>
        <v>101409.37</v>
      </c>
      <c r="I77" s="47"/>
      <c r="J77" s="47"/>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row>
    <row r="78" spans="1:187" s="1" customFormat="1" ht="48.75" customHeight="1" hidden="1">
      <c r="A78" s="73" t="s">
        <v>149</v>
      </c>
      <c r="B78" s="48" t="s">
        <v>150</v>
      </c>
      <c r="C78" s="49" t="s">
        <v>376</v>
      </c>
      <c r="D78" s="220">
        <f t="shared" si="1"/>
        <v>21892678.45</v>
      </c>
      <c r="E78" s="68">
        <f t="shared" si="2"/>
        <v>5969606.08</v>
      </c>
      <c r="F78" s="68">
        <f t="shared" si="2"/>
        <v>11547320</v>
      </c>
      <c r="G78" s="68">
        <f>G93+G114+G123+G138+G90+G106</f>
        <v>4274343</v>
      </c>
      <c r="H78" s="68">
        <f>SUM(H86:H125)</f>
        <v>101409.37</v>
      </c>
      <c r="I78" s="47"/>
      <c r="J78" s="47"/>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row>
    <row r="79" spans="1:187" s="1" customFormat="1" ht="17.25" customHeight="1" hidden="1">
      <c r="A79" s="73" t="s">
        <v>297</v>
      </c>
      <c r="B79" s="48"/>
      <c r="C79" s="49" t="s">
        <v>376</v>
      </c>
      <c r="D79" s="220">
        <f t="shared" si="1"/>
        <v>19742988.45</v>
      </c>
      <c r="E79" s="68">
        <f t="shared" si="2"/>
        <v>5969606.08</v>
      </c>
      <c r="F79" s="68">
        <f t="shared" si="2"/>
        <v>11547320</v>
      </c>
      <c r="G79" s="68">
        <f>G96+G116+G124+G139+G92+G107</f>
        <v>2124653</v>
      </c>
      <c r="H79" s="68">
        <f>SUM(H87:H126)</f>
        <v>101409.37</v>
      </c>
      <c r="I79" s="47"/>
      <c r="J79" s="47"/>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row>
    <row r="80" spans="1:187" s="1" customFormat="1" ht="51.75" customHeight="1" hidden="1">
      <c r="A80" s="73" t="s">
        <v>151</v>
      </c>
      <c r="B80" s="48" t="s">
        <v>152</v>
      </c>
      <c r="C80" s="49" t="s">
        <v>377</v>
      </c>
      <c r="D80" s="220">
        <f t="shared" si="1"/>
        <v>17618335.45</v>
      </c>
      <c r="E80" s="68">
        <f t="shared" si="2"/>
        <v>5969606.08</v>
      </c>
      <c r="F80" s="68">
        <f t="shared" si="2"/>
        <v>11547320</v>
      </c>
      <c r="G80" s="68">
        <f>G98+G117+G125+G140+G93+G109</f>
        <v>0</v>
      </c>
      <c r="H80" s="68">
        <f>SUM(H88:H127)</f>
        <v>101409.37</v>
      </c>
      <c r="I80" s="47"/>
      <c r="J80" s="47"/>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c r="FR80" s="72"/>
      <c r="FS80" s="72"/>
      <c r="FT80" s="72"/>
      <c r="FU80" s="72"/>
      <c r="FV80" s="72"/>
      <c r="FW80" s="72"/>
      <c r="FX80" s="72"/>
      <c r="FY80" s="72"/>
      <c r="FZ80" s="72"/>
      <c r="GA80" s="72"/>
      <c r="GB80" s="72"/>
      <c r="GC80" s="72"/>
      <c r="GD80" s="72"/>
      <c r="GE80" s="72"/>
    </row>
    <row r="81" spans="1:187" s="1" customFormat="1" ht="33" customHeight="1">
      <c r="A81" s="73" t="s">
        <v>742</v>
      </c>
      <c r="B81" s="48" t="s">
        <v>154</v>
      </c>
      <c r="C81" s="49" t="s">
        <v>35</v>
      </c>
      <c r="D81" s="434">
        <f>E81+F81+G81+H81</f>
        <v>13748978.45</v>
      </c>
      <c r="E81" s="47">
        <f>SUM(E84:E135)-E90-E116-E123-E114</f>
        <v>3421606.08</v>
      </c>
      <c r="F81" s="47">
        <f>F76</f>
        <v>5826160</v>
      </c>
      <c r="G81" s="47">
        <f>G97+G90+G103+G116+G123+G113</f>
        <v>4411303</v>
      </c>
      <c r="H81" s="47">
        <f>SUM(H84:H135)-H86-H116-H123-H90</f>
        <v>89909.37</v>
      </c>
      <c r="I81" s="47"/>
      <c r="J81" s="47"/>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c r="FR81" s="72"/>
      <c r="FS81" s="72"/>
      <c r="FT81" s="72"/>
      <c r="FU81" s="72"/>
      <c r="FV81" s="72"/>
      <c r="FW81" s="72"/>
      <c r="FX81" s="72"/>
      <c r="FY81" s="72"/>
      <c r="FZ81" s="72"/>
      <c r="GA81" s="72"/>
      <c r="GB81" s="72"/>
      <c r="GC81" s="72"/>
      <c r="GD81" s="72"/>
      <c r="GE81" s="72"/>
    </row>
    <row r="82" spans="1:187" s="1" customFormat="1" ht="28.5" customHeight="1" hidden="1">
      <c r="A82" s="73" t="s">
        <v>153</v>
      </c>
      <c r="B82" s="48" t="s">
        <v>154</v>
      </c>
      <c r="C82" s="49" t="s">
        <v>646</v>
      </c>
      <c r="D82" s="220"/>
      <c r="E82" s="47"/>
      <c r="F82" s="47"/>
      <c r="G82" s="47"/>
      <c r="H82" s="47"/>
      <c r="I82" s="47"/>
      <c r="J82" s="47"/>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c r="FR82" s="72"/>
      <c r="FS82" s="72"/>
      <c r="FT82" s="72"/>
      <c r="FU82" s="72"/>
      <c r="FV82" s="72"/>
      <c r="FW82" s="72"/>
      <c r="FX82" s="72"/>
      <c r="FY82" s="72"/>
      <c r="FZ82" s="72"/>
      <c r="GA82" s="72"/>
      <c r="GB82" s="72"/>
      <c r="GC82" s="72"/>
      <c r="GD82" s="72"/>
      <c r="GE82" s="72"/>
    </row>
    <row r="83" spans="1:187" s="1" customFormat="1" ht="15" hidden="1">
      <c r="A83" s="73" t="s">
        <v>111</v>
      </c>
      <c r="B83" s="51"/>
      <c r="C83" s="49"/>
      <c r="D83" s="220"/>
      <c r="E83" s="47"/>
      <c r="F83" s="47"/>
      <c r="G83" s="47"/>
      <c r="H83" s="47"/>
      <c r="I83" s="47"/>
      <c r="J83" s="47"/>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c r="ES83" s="72"/>
      <c r="ET83" s="72"/>
      <c r="EU83" s="72"/>
      <c r="EV83" s="72"/>
      <c r="EW83" s="72"/>
      <c r="EX83" s="72"/>
      <c r="EY83" s="72"/>
      <c r="EZ83" s="72"/>
      <c r="FA83" s="72"/>
      <c r="FB83" s="72"/>
      <c r="FC83" s="72"/>
      <c r="FD83" s="72"/>
      <c r="FE83" s="72"/>
      <c r="FF83" s="72"/>
      <c r="FG83" s="72"/>
      <c r="FH83" s="72"/>
      <c r="FI83" s="72"/>
      <c r="FJ83" s="72"/>
      <c r="FK83" s="72"/>
      <c r="FL83" s="72"/>
      <c r="FM83" s="72"/>
      <c r="FN83" s="72"/>
      <c r="FO83" s="72"/>
      <c r="FP83" s="72"/>
      <c r="FQ83" s="72"/>
      <c r="FR83" s="72"/>
      <c r="FS83" s="72"/>
      <c r="FT83" s="72"/>
      <c r="FU83" s="72"/>
      <c r="FV83" s="72"/>
      <c r="FW83" s="72"/>
      <c r="FX83" s="72"/>
      <c r="FY83" s="72"/>
      <c r="FZ83" s="72"/>
      <c r="GA83" s="72"/>
      <c r="GB83" s="72"/>
      <c r="GC83" s="72"/>
      <c r="GD83" s="72"/>
      <c r="GE83" s="72"/>
    </row>
    <row r="84" spans="1:10" ht="32.25" customHeight="1">
      <c r="A84" s="74" t="s">
        <v>743</v>
      </c>
      <c r="B84" s="51"/>
      <c r="C84" s="53" t="s">
        <v>378</v>
      </c>
      <c r="D84" s="220">
        <f t="shared" si="1"/>
        <v>2000</v>
      </c>
      <c r="E84" s="47">
        <f>'Местный бюджет'!G71</f>
        <v>2000</v>
      </c>
      <c r="F84" s="47"/>
      <c r="G84" s="47"/>
      <c r="H84" s="47"/>
      <c r="I84" s="47"/>
      <c r="J84" s="47"/>
    </row>
    <row r="85" spans="1:10" ht="18.75" customHeight="1" hidden="1">
      <c r="A85" s="74" t="s">
        <v>10</v>
      </c>
      <c r="B85" s="51"/>
      <c r="C85" s="53" t="s">
        <v>379</v>
      </c>
      <c r="D85" s="220">
        <f t="shared" si="1"/>
        <v>0</v>
      </c>
      <c r="E85" s="47"/>
      <c r="F85" s="47"/>
      <c r="G85" s="47"/>
      <c r="H85" s="47"/>
      <c r="I85" s="47"/>
      <c r="J85" s="47"/>
    </row>
    <row r="86" spans="1:10" ht="19.5" customHeight="1" hidden="1">
      <c r="A86" s="407" t="s">
        <v>3</v>
      </c>
      <c r="B86" s="408"/>
      <c r="C86" s="409" t="s">
        <v>552</v>
      </c>
      <c r="D86" s="220">
        <f t="shared" si="1"/>
        <v>0</v>
      </c>
      <c r="E86" s="410"/>
      <c r="F86" s="410"/>
      <c r="G86" s="410"/>
      <c r="H86" s="410"/>
      <c r="I86" s="47"/>
      <c r="J86" s="47"/>
    </row>
    <row r="87" spans="1:10" ht="34.5" customHeight="1" hidden="1">
      <c r="A87" s="73" t="s">
        <v>67</v>
      </c>
      <c r="B87" s="51"/>
      <c r="C87" s="53" t="s">
        <v>381</v>
      </c>
      <c r="D87" s="220">
        <f t="shared" si="1"/>
        <v>0</v>
      </c>
      <c r="E87" s="47"/>
      <c r="F87" s="47"/>
      <c r="G87" s="47"/>
      <c r="H87" s="47"/>
      <c r="I87" s="47"/>
      <c r="J87" s="47"/>
    </row>
    <row r="88" spans="1:10" ht="19.5" customHeight="1">
      <c r="A88" s="73" t="s">
        <v>3</v>
      </c>
      <c r="B88" s="51"/>
      <c r="C88" s="53" t="s">
        <v>380</v>
      </c>
      <c r="D88" s="220">
        <f t="shared" si="1"/>
        <v>265128.45</v>
      </c>
      <c r="E88" s="47">
        <f>'Местный бюджет'!G90+'Местный бюджет'!G94+'Местный бюджет'!G92+'Местный бюджет'!G88+'Местный бюджет'!G91+'Местный бюджет'!G93</f>
        <v>209606.08000000002</v>
      </c>
      <c r="F88" s="47"/>
      <c r="G88" s="47"/>
      <c r="H88" s="47">
        <f>Внебюджет!G152</f>
        <v>55522.37</v>
      </c>
      <c r="I88" s="47"/>
      <c r="J88" s="47"/>
    </row>
    <row r="89" spans="1:10" ht="24" customHeight="1">
      <c r="A89" s="73" t="s">
        <v>68</v>
      </c>
      <c r="B89" s="51"/>
      <c r="C89" s="53" t="s">
        <v>382</v>
      </c>
      <c r="D89" s="220">
        <f t="shared" si="1"/>
        <v>681000</v>
      </c>
      <c r="E89" s="47">
        <f>'Местный бюджет'!H132</f>
        <v>600000</v>
      </c>
      <c r="F89" s="47">
        <f>'Областной бюджет'!F92</f>
        <v>80000</v>
      </c>
      <c r="G89" s="47"/>
      <c r="H89" s="47">
        <f>Внебюджет!G164</f>
        <v>1000</v>
      </c>
      <c r="I89" s="47"/>
      <c r="J89" s="47"/>
    </row>
    <row r="90" spans="1:10" ht="26.25" customHeight="1">
      <c r="A90" s="74" t="s">
        <v>4</v>
      </c>
      <c r="B90" s="51"/>
      <c r="C90" s="53"/>
      <c r="D90" s="220">
        <f t="shared" si="1"/>
        <v>10767503</v>
      </c>
      <c r="E90" s="47">
        <f>'Местный бюджет'!G155</f>
        <v>2500000</v>
      </c>
      <c r="F90" s="47">
        <f>'Областной бюджет'!G100</f>
        <v>4105160</v>
      </c>
      <c r="G90" s="47">
        <f>G92+G94+G95</f>
        <v>4160843</v>
      </c>
      <c r="H90" s="47">
        <f>Внебюджет!G172</f>
        <v>1500</v>
      </c>
      <c r="I90" s="47"/>
      <c r="J90" s="47"/>
    </row>
    <row r="91" spans="1:187" s="429" customFormat="1" ht="36.75" customHeight="1">
      <c r="A91" s="74" t="s">
        <v>744</v>
      </c>
      <c r="B91" s="51"/>
      <c r="C91" s="53" t="s">
        <v>383</v>
      </c>
      <c r="D91" s="220">
        <f>SUM(E91:H91)</f>
        <v>6606660</v>
      </c>
      <c r="E91" s="47">
        <f>E90</f>
        <v>2500000</v>
      </c>
      <c r="F91" s="47">
        <f>F90</f>
        <v>4105160</v>
      </c>
      <c r="G91" s="47"/>
      <c r="H91" s="47">
        <f>H90</f>
        <v>1500</v>
      </c>
      <c r="I91" s="47"/>
      <c r="J91" s="47"/>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0"/>
      <c r="AY91" s="430"/>
      <c r="AZ91" s="430"/>
      <c r="BA91" s="430"/>
      <c r="BB91" s="430"/>
      <c r="BC91" s="430"/>
      <c r="BD91" s="430"/>
      <c r="BE91" s="430"/>
      <c r="BF91" s="430"/>
      <c r="BG91" s="430"/>
      <c r="BH91" s="430"/>
      <c r="BI91" s="430"/>
      <c r="BJ91" s="430"/>
      <c r="BK91" s="430"/>
      <c r="BL91" s="430"/>
      <c r="BM91" s="430"/>
      <c r="BN91" s="430"/>
      <c r="BO91" s="430"/>
      <c r="BP91" s="430"/>
      <c r="BQ91" s="430"/>
      <c r="BR91" s="430"/>
      <c r="BS91" s="430"/>
      <c r="BT91" s="430"/>
      <c r="BU91" s="430"/>
      <c r="BV91" s="430"/>
      <c r="BW91" s="430"/>
      <c r="BX91" s="430"/>
      <c r="BY91" s="430"/>
      <c r="BZ91" s="430"/>
      <c r="CA91" s="430"/>
      <c r="CB91" s="430"/>
      <c r="CC91" s="430"/>
      <c r="CD91" s="430"/>
      <c r="CE91" s="430"/>
      <c r="CF91" s="430"/>
      <c r="CG91" s="430"/>
      <c r="CH91" s="430"/>
      <c r="CI91" s="430"/>
      <c r="CJ91" s="430"/>
      <c r="CK91" s="430"/>
      <c r="CL91" s="430"/>
      <c r="CM91" s="430"/>
      <c r="CN91" s="430"/>
      <c r="CO91" s="430"/>
      <c r="CP91" s="430"/>
      <c r="CQ91" s="430"/>
      <c r="CR91" s="430"/>
      <c r="CS91" s="430"/>
      <c r="CT91" s="430"/>
      <c r="CU91" s="430"/>
      <c r="CV91" s="430"/>
      <c r="CW91" s="430"/>
      <c r="CX91" s="430"/>
      <c r="CY91" s="430"/>
      <c r="CZ91" s="430"/>
      <c r="DA91" s="430"/>
      <c r="DB91" s="430"/>
      <c r="DC91" s="430"/>
      <c r="DD91" s="430"/>
      <c r="DE91" s="430"/>
      <c r="DF91" s="430"/>
      <c r="DG91" s="430"/>
      <c r="DH91" s="430"/>
      <c r="DI91" s="430"/>
      <c r="DJ91" s="430"/>
      <c r="DK91" s="430"/>
      <c r="DL91" s="430"/>
      <c r="DM91" s="430"/>
      <c r="DN91" s="430"/>
      <c r="DO91" s="430"/>
      <c r="DP91" s="430"/>
      <c r="DQ91" s="430"/>
      <c r="DR91" s="430"/>
      <c r="DS91" s="430"/>
      <c r="DT91" s="430"/>
      <c r="DU91" s="430"/>
      <c r="DV91" s="430"/>
      <c r="DW91" s="430"/>
      <c r="DX91" s="430"/>
      <c r="DY91" s="430"/>
      <c r="DZ91" s="430"/>
      <c r="EA91" s="430"/>
      <c r="EB91" s="430"/>
      <c r="EC91" s="430"/>
      <c r="ED91" s="430"/>
      <c r="EE91" s="430"/>
      <c r="EF91" s="430"/>
      <c r="EG91" s="430"/>
      <c r="EH91" s="430"/>
      <c r="EI91" s="430"/>
      <c r="EJ91" s="430"/>
      <c r="EK91" s="430"/>
      <c r="EL91" s="430"/>
      <c r="EM91" s="430"/>
      <c r="EN91" s="430"/>
      <c r="EO91" s="430"/>
      <c r="EP91" s="430"/>
      <c r="EQ91" s="430"/>
      <c r="ER91" s="430"/>
      <c r="ES91" s="430"/>
      <c r="ET91" s="430"/>
      <c r="EU91" s="430"/>
      <c r="EV91" s="430"/>
      <c r="EW91" s="430"/>
      <c r="EX91" s="430"/>
      <c r="EY91" s="430"/>
      <c r="EZ91" s="430"/>
      <c r="FA91" s="430"/>
      <c r="FB91" s="430"/>
      <c r="FC91" s="430"/>
      <c r="FD91" s="430"/>
      <c r="FE91" s="430"/>
      <c r="FF91" s="430"/>
      <c r="FG91" s="430"/>
      <c r="FH91" s="430"/>
      <c r="FI91" s="430"/>
      <c r="FJ91" s="430"/>
      <c r="FK91" s="430"/>
      <c r="FL91" s="430"/>
      <c r="FM91" s="430"/>
      <c r="FN91" s="430"/>
      <c r="FO91" s="430"/>
      <c r="FP91" s="430"/>
      <c r="FQ91" s="430"/>
      <c r="FR91" s="430"/>
      <c r="FS91" s="430"/>
      <c r="FT91" s="430"/>
      <c r="FU91" s="430"/>
      <c r="FV91" s="430"/>
      <c r="FW91" s="430"/>
      <c r="FX91" s="430"/>
      <c r="FY91" s="430"/>
      <c r="FZ91" s="430"/>
      <c r="GA91" s="430"/>
      <c r="GB91" s="430"/>
      <c r="GC91" s="430"/>
      <c r="GD91" s="430"/>
      <c r="GE91" s="430"/>
    </row>
    <row r="92" spans="1:10" ht="20.25" customHeight="1">
      <c r="A92" s="352" t="s">
        <v>689</v>
      </c>
      <c r="B92" s="48"/>
      <c r="C92" s="53" t="s">
        <v>383</v>
      </c>
      <c r="D92" s="303">
        <f t="shared" si="1"/>
        <v>2101193</v>
      </c>
      <c r="E92" s="47"/>
      <c r="F92" s="47"/>
      <c r="G92" s="47">
        <f>'Иные цели'!G255</f>
        <v>2101193</v>
      </c>
      <c r="H92" s="47"/>
      <c r="I92" s="47"/>
      <c r="J92" s="47"/>
    </row>
    <row r="93" spans="1:10" ht="22.5" customHeight="1" hidden="1">
      <c r="A93" s="73" t="s">
        <v>61</v>
      </c>
      <c r="B93" s="51"/>
      <c r="C93" s="53" t="s">
        <v>384</v>
      </c>
      <c r="D93" s="220">
        <f t="shared" si="1"/>
        <v>0</v>
      </c>
      <c r="E93" s="47"/>
      <c r="F93" s="47"/>
      <c r="G93" s="47"/>
      <c r="H93" s="47"/>
      <c r="I93" s="47"/>
      <c r="J93" s="47"/>
    </row>
    <row r="94" spans="1:10" ht="20.25" customHeight="1">
      <c r="A94" s="352" t="s">
        <v>705</v>
      </c>
      <c r="B94" s="48"/>
      <c r="C94" s="53" t="s">
        <v>608</v>
      </c>
      <c r="D94" s="303">
        <f>SUM(E94:H94)</f>
        <v>1074650</v>
      </c>
      <c r="E94" s="47"/>
      <c r="F94" s="47"/>
      <c r="G94" s="47">
        <f>'Иные цели'!G258</f>
        <v>1074650</v>
      </c>
      <c r="H94" s="47"/>
      <c r="I94" s="47"/>
      <c r="J94" s="47"/>
    </row>
    <row r="95" spans="1:10" ht="20.25" customHeight="1">
      <c r="A95" s="352" t="s">
        <v>706</v>
      </c>
      <c r="B95" s="48"/>
      <c r="C95" s="53" t="s">
        <v>608</v>
      </c>
      <c r="D95" s="303">
        <f>SUM(E95:H95)</f>
        <v>985000</v>
      </c>
      <c r="E95" s="47"/>
      <c r="F95" s="47"/>
      <c r="G95" s="47">
        <f>'Иные цели'!G259</f>
        <v>985000</v>
      </c>
      <c r="H95" s="47"/>
      <c r="I95" s="47"/>
      <c r="J95" s="47"/>
    </row>
    <row r="96" spans="1:10" ht="21.75" customHeight="1">
      <c r="A96" s="73" t="s">
        <v>75</v>
      </c>
      <c r="B96" s="51"/>
      <c r="C96" s="53"/>
      <c r="D96" s="220">
        <f t="shared" si="1"/>
        <v>0</v>
      </c>
      <c r="E96" s="47"/>
      <c r="F96" s="47"/>
      <c r="G96" s="47">
        <f>G97</f>
        <v>0</v>
      </c>
      <c r="H96" s="47"/>
      <c r="I96" s="47"/>
      <c r="J96" s="47"/>
    </row>
    <row r="97" spans="1:187" s="1" customFormat="1" ht="23.25" customHeight="1">
      <c r="A97" s="352" t="s">
        <v>666</v>
      </c>
      <c r="B97" s="51"/>
      <c r="C97" s="53" t="s">
        <v>385</v>
      </c>
      <c r="D97" s="303">
        <f t="shared" si="1"/>
        <v>0</v>
      </c>
      <c r="E97" s="47"/>
      <c r="F97" s="47"/>
      <c r="G97" s="304">
        <f>'Иные цели'!F265</f>
        <v>0</v>
      </c>
      <c r="H97" s="47"/>
      <c r="I97" s="47"/>
      <c r="J97" s="47"/>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c r="FR97" s="72"/>
      <c r="FS97" s="72"/>
      <c r="FT97" s="72"/>
      <c r="FU97" s="72"/>
      <c r="FV97" s="72"/>
      <c r="FW97" s="72"/>
      <c r="FX97" s="72"/>
      <c r="FY97" s="72"/>
      <c r="FZ97" s="72"/>
      <c r="GA97" s="72"/>
      <c r="GB97" s="72"/>
      <c r="GC97" s="72"/>
      <c r="GD97" s="72"/>
      <c r="GE97" s="72"/>
    </row>
    <row r="98" spans="1:10" ht="23.25" customHeight="1" hidden="1">
      <c r="A98" s="246" t="s">
        <v>444</v>
      </c>
      <c r="B98" s="51"/>
      <c r="C98" s="53" t="s">
        <v>385</v>
      </c>
      <c r="D98" s="220">
        <f t="shared" si="1"/>
        <v>0</v>
      </c>
      <c r="E98" s="47"/>
      <c r="F98" s="47"/>
      <c r="G98" s="47">
        <f>G97</f>
        <v>0</v>
      </c>
      <c r="H98" s="47"/>
      <c r="I98" s="47"/>
      <c r="J98" s="47"/>
    </row>
    <row r="99" spans="1:10" ht="23.25" customHeight="1" hidden="1">
      <c r="A99" s="246" t="s">
        <v>494</v>
      </c>
      <c r="B99" s="51"/>
      <c r="C99" s="53" t="s">
        <v>385</v>
      </c>
      <c r="D99" s="220">
        <f t="shared" si="1"/>
        <v>0</v>
      </c>
      <c r="E99" s="47"/>
      <c r="F99" s="47"/>
      <c r="G99" s="47"/>
      <c r="H99" s="47"/>
      <c r="I99" s="47"/>
      <c r="J99" s="47"/>
    </row>
    <row r="100" spans="1:187" s="1" customFormat="1" ht="21" customHeight="1" hidden="1">
      <c r="A100" s="352" t="s">
        <v>581</v>
      </c>
      <c r="B100" s="51"/>
      <c r="C100" s="53" t="s">
        <v>383</v>
      </c>
      <c r="D100" s="220">
        <f t="shared" si="1"/>
        <v>2101193</v>
      </c>
      <c r="E100" s="47"/>
      <c r="F100" s="47"/>
      <c r="G100" s="304">
        <f>'Иные цели'!G255</f>
        <v>2101193</v>
      </c>
      <c r="H100" s="47"/>
      <c r="I100" s="47"/>
      <c r="J100" s="47"/>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c r="FL100" s="72"/>
      <c r="FM100" s="72"/>
      <c r="FN100" s="72"/>
      <c r="FO100" s="72"/>
      <c r="FP100" s="72"/>
      <c r="FQ100" s="72"/>
      <c r="FR100" s="72"/>
      <c r="FS100" s="72"/>
      <c r="FT100" s="72"/>
      <c r="FU100" s="72"/>
      <c r="FV100" s="72"/>
      <c r="FW100" s="72"/>
      <c r="FX100" s="72"/>
      <c r="FY100" s="72"/>
      <c r="FZ100" s="72"/>
      <c r="GA100" s="72"/>
      <c r="GB100" s="72"/>
      <c r="GC100" s="72"/>
      <c r="GD100" s="72"/>
      <c r="GE100" s="72"/>
    </row>
    <row r="101" spans="1:187" s="1" customFormat="1" ht="17.25" customHeight="1" hidden="1">
      <c r="A101" s="352" t="s">
        <v>589</v>
      </c>
      <c r="B101" s="51"/>
      <c r="C101" s="53" t="s">
        <v>608</v>
      </c>
      <c r="D101" s="220">
        <f t="shared" si="1"/>
        <v>2059650</v>
      </c>
      <c r="E101" s="47"/>
      <c r="F101" s="47"/>
      <c r="G101" s="304">
        <f>'Иные цели'!G256</f>
        <v>2059650</v>
      </c>
      <c r="H101" s="47"/>
      <c r="I101" s="47"/>
      <c r="J101" s="47"/>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c r="DZ101" s="72"/>
      <c r="EA101" s="72"/>
      <c r="EB101" s="72"/>
      <c r="EC101" s="72"/>
      <c r="ED101" s="72"/>
      <c r="EE101" s="72"/>
      <c r="EF101" s="72"/>
      <c r="EG101" s="72"/>
      <c r="EH101" s="72"/>
      <c r="EI101" s="72"/>
      <c r="EJ101" s="72"/>
      <c r="EK101" s="72"/>
      <c r="EL101" s="72"/>
      <c r="EM101" s="72"/>
      <c r="EN101" s="72"/>
      <c r="EO101" s="72"/>
      <c r="EP101" s="72"/>
      <c r="EQ101" s="72"/>
      <c r="ER101" s="72"/>
      <c r="ES101" s="72"/>
      <c r="ET101" s="72"/>
      <c r="EU101" s="72"/>
      <c r="EV101" s="72"/>
      <c r="EW101" s="72"/>
      <c r="EX101" s="72"/>
      <c r="EY101" s="72"/>
      <c r="EZ101" s="72"/>
      <c r="FA101" s="72"/>
      <c r="FB101" s="72"/>
      <c r="FC101" s="72"/>
      <c r="FD101" s="72"/>
      <c r="FE101" s="72"/>
      <c r="FF101" s="72"/>
      <c r="FG101" s="72"/>
      <c r="FH101" s="72"/>
      <c r="FI101" s="72"/>
      <c r="FJ101" s="72"/>
      <c r="FK101" s="72"/>
      <c r="FL101" s="72"/>
      <c r="FM101" s="72"/>
      <c r="FN101" s="72"/>
      <c r="FO101" s="72"/>
      <c r="FP101" s="72"/>
      <c r="FQ101" s="72"/>
      <c r="FR101" s="72"/>
      <c r="FS101" s="72"/>
      <c r="FT101" s="72"/>
      <c r="FU101" s="72"/>
      <c r="FV101" s="72"/>
      <c r="FW101" s="72"/>
      <c r="FX101" s="72"/>
      <c r="FY101" s="72"/>
      <c r="FZ101" s="72"/>
      <c r="GA101" s="72"/>
      <c r="GB101" s="72"/>
      <c r="GC101" s="72"/>
      <c r="GD101" s="72"/>
      <c r="GE101" s="72"/>
    </row>
    <row r="102" spans="1:187" s="1" customFormat="1" ht="17.25" customHeight="1" hidden="1">
      <c r="A102" s="352" t="s">
        <v>599</v>
      </c>
      <c r="B102" s="51"/>
      <c r="C102" s="53" t="s">
        <v>608</v>
      </c>
      <c r="D102" s="220">
        <f t="shared" si="1"/>
        <v>310500</v>
      </c>
      <c r="E102" s="47"/>
      <c r="F102" s="47"/>
      <c r="G102" s="304">
        <f>'Иные цели'!G257</f>
        <v>310500</v>
      </c>
      <c r="H102" s="47"/>
      <c r="I102" s="47"/>
      <c r="J102" s="47"/>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2"/>
      <c r="FU102" s="72"/>
      <c r="FV102" s="72"/>
      <c r="FW102" s="72"/>
      <c r="FX102" s="72"/>
      <c r="FY102" s="72"/>
      <c r="FZ102" s="72"/>
      <c r="GA102" s="72"/>
      <c r="GB102" s="72"/>
      <c r="GC102" s="72"/>
      <c r="GD102" s="72"/>
      <c r="GE102" s="72"/>
    </row>
    <row r="103" spans="1:187" s="1" customFormat="1" ht="19.5" customHeight="1">
      <c r="A103" s="73" t="s">
        <v>5</v>
      </c>
      <c r="B103" s="51"/>
      <c r="C103" s="53"/>
      <c r="D103" s="220">
        <f t="shared" si="1"/>
        <v>1782000</v>
      </c>
      <c r="E103" s="47"/>
      <c r="F103" s="47">
        <f>'Областной бюджет'!G134</f>
        <v>1555000</v>
      </c>
      <c r="G103" s="47">
        <f>G105+G106+G108</f>
        <v>227000</v>
      </c>
      <c r="H103" s="47"/>
      <c r="I103" s="47"/>
      <c r="J103" s="47"/>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c r="FL103" s="72"/>
      <c r="FM103" s="72"/>
      <c r="FN103" s="72"/>
      <c r="FO103" s="72"/>
      <c r="FP103" s="72"/>
      <c r="FQ103" s="72"/>
      <c r="FR103" s="72"/>
      <c r="FS103" s="72"/>
      <c r="FT103" s="72"/>
      <c r="FU103" s="72"/>
      <c r="FV103" s="72"/>
      <c r="FW103" s="72"/>
      <c r="FX103" s="72"/>
      <c r="FY103" s="72"/>
      <c r="FZ103" s="72"/>
      <c r="GA103" s="72"/>
      <c r="GB103" s="72"/>
      <c r="GC103" s="72"/>
      <c r="GD103" s="72"/>
      <c r="GE103" s="72"/>
    </row>
    <row r="104" spans="1:187" s="1" customFormat="1" ht="31.5" customHeight="1">
      <c r="A104" s="73" t="s">
        <v>745</v>
      </c>
      <c r="B104" s="51"/>
      <c r="C104" s="53" t="s">
        <v>386</v>
      </c>
      <c r="D104" s="220">
        <f>SUM(E104:H104)</f>
        <v>1555000</v>
      </c>
      <c r="E104" s="47"/>
      <c r="F104" s="47">
        <f>F103</f>
        <v>1555000</v>
      </c>
      <c r="G104" s="47"/>
      <c r="H104" s="47">
        <f>Внебюджет!G216</f>
        <v>0</v>
      </c>
      <c r="I104" s="47"/>
      <c r="J104" s="47"/>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c r="EO104" s="72"/>
      <c r="EP104" s="72"/>
      <c r="EQ104" s="72"/>
      <c r="ER104" s="72"/>
      <c r="ES104" s="72"/>
      <c r="ET104" s="72"/>
      <c r="EU104" s="72"/>
      <c r="EV104" s="72"/>
      <c r="EW104" s="72"/>
      <c r="EX104" s="72"/>
      <c r="EY104" s="72"/>
      <c r="EZ104" s="72"/>
      <c r="FA104" s="72"/>
      <c r="FB104" s="72"/>
      <c r="FC104" s="72"/>
      <c r="FD104" s="72"/>
      <c r="FE104" s="72"/>
      <c r="FF104" s="72"/>
      <c r="FG104" s="72"/>
      <c r="FH104" s="72"/>
      <c r="FI104" s="72"/>
      <c r="FJ104" s="72"/>
      <c r="FK104" s="72"/>
      <c r="FL104" s="72"/>
      <c r="FM104" s="72"/>
      <c r="FN104" s="72"/>
      <c r="FO104" s="72"/>
      <c r="FP104" s="72"/>
      <c r="FQ104" s="72"/>
      <c r="FR104" s="72"/>
      <c r="FS104" s="72"/>
      <c r="FT104" s="72"/>
      <c r="FU104" s="72"/>
      <c r="FV104" s="72"/>
      <c r="FW104" s="72"/>
      <c r="FX104" s="72"/>
      <c r="FY104" s="72"/>
      <c r="FZ104" s="72"/>
      <c r="GA104" s="72"/>
      <c r="GB104" s="72"/>
      <c r="GC104" s="72"/>
      <c r="GD104" s="72"/>
      <c r="GE104" s="72"/>
    </row>
    <row r="105" spans="1:187" s="1" customFormat="1" ht="18.75" customHeight="1">
      <c r="A105" s="352" t="s">
        <v>690</v>
      </c>
      <c r="B105" s="51"/>
      <c r="C105" s="53" t="s">
        <v>386</v>
      </c>
      <c r="D105" s="303">
        <f t="shared" si="1"/>
        <v>113500</v>
      </c>
      <c r="E105" s="47"/>
      <c r="F105" s="47"/>
      <c r="G105" s="47">
        <f>'Иные цели'!G416</f>
        <v>113500</v>
      </c>
      <c r="H105" s="47"/>
      <c r="I105" s="47"/>
      <c r="J105" s="47"/>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c r="FN105" s="72"/>
      <c r="FO105" s="72"/>
      <c r="FP105" s="72"/>
      <c r="FQ105" s="72"/>
      <c r="FR105" s="72"/>
      <c r="FS105" s="72"/>
      <c r="FT105" s="72"/>
      <c r="FU105" s="72"/>
      <c r="FV105" s="72"/>
      <c r="FW105" s="72"/>
      <c r="FX105" s="72"/>
      <c r="FY105" s="72"/>
      <c r="FZ105" s="72"/>
      <c r="GA105" s="72"/>
      <c r="GB105" s="72"/>
      <c r="GC105" s="72"/>
      <c r="GD105" s="72"/>
      <c r="GE105" s="72"/>
    </row>
    <row r="106" spans="1:187" s="1" customFormat="1" ht="18.75" customHeight="1">
      <c r="A106" s="352" t="s">
        <v>682</v>
      </c>
      <c r="B106" s="51"/>
      <c r="C106" s="53" t="s">
        <v>386</v>
      </c>
      <c r="D106" s="303">
        <f t="shared" si="1"/>
        <v>113500</v>
      </c>
      <c r="E106" s="47"/>
      <c r="F106" s="47"/>
      <c r="G106" s="304">
        <f>'Иные цели'!G492</f>
        <v>113500</v>
      </c>
      <c r="H106" s="47"/>
      <c r="I106" s="47"/>
      <c r="J106" s="47"/>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row>
    <row r="107" spans="1:187" s="1" customFormat="1" ht="36" customHeight="1" hidden="1">
      <c r="A107" s="73" t="s">
        <v>62</v>
      </c>
      <c r="B107" s="51"/>
      <c r="C107" s="53" t="s">
        <v>387</v>
      </c>
      <c r="D107" s="220">
        <f t="shared" si="1"/>
        <v>0</v>
      </c>
      <c r="E107" s="47"/>
      <c r="F107" s="47"/>
      <c r="G107" s="47"/>
      <c r="H107" s="47"/>
      <c r="I107" s="47"/>
      <c r="J107" s="47"/>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c r="EO107" s="72"/>
      <c r="EP107" s="72"/>
      <c r="EQ107" s="72"/>
      <c r="ER107" s="72"/>
      <c r="ES107" s="72"/>
      <c r="ET107" s="72"/>
      <c r="EU107" s="72"/>
      <c r="EV107" s="72"/>
      <c r="EW107" s="72"/>
      <c r="EX107" s="72"/>
      <c r="EY107" s="72"/>
      <c r="EZ107" s="72"/>
      <c r="FA107" s="72"/>
      <c r="FB107" s="72"/>
      <c r="FC107" s="72"/>
      <c r="FD107" s="72"/>
      <c r="FE107" s="72"/>
      <c r="FF107" s="72"/>
      <c r="FG107" s="72"/>
      <c r="FH107" s="72"/>
      <c r="FI107" s="72"/>
      <c r="FJ107" s="72"/>
      <c r="FK107" s="72"/>
      <c r="FL107" s="72"/>
      <c r="FM107" s="72"/>
      <c r="FN107" s="72"/>
      <c r="FO107" s="72"/>
      <c r="FP107" s="72"/>
      <c r="FQ107" s="72"/>
      <c r="FR107" s="72"/>
      <c r="FS107" s="72"/>
      <c r="FT107" s="72"/>
      <c r="FU107" s="72"/>
      <c r="FV107" s="72"/>
      <c r="FW107" s="72"/>
      <c r="FX107" s="72"/>
      <c r="FY107" s="72"/>
      <c r="FZ107" s="72"/>
      <c r="GA107" s="72"/>
      <c r="GB107" s="72"/>
      <c r="GC107" s="72"/>
      <c r="GD107" s="72"/>
      <c r="GE107" s="72"/>
    </row>
    <row r="108" spans="1:187" s="1" customFormat="1" ht="18.75" customHeight="1">
      <c r="A108" s="352" t="s">
        <v>777</v>
      </c>
      <c r="B108" s="51"/>
      <c r="C108" s="53" t="s">
        <v>386</v>
      </c>
      <c r="D108" s="434">
        <f>SUM(E108:H108)</f>
        <v>0</v>
      </c>
      <c r="E108" s="47"/>
      <c r="F108" s="47"/>
      <c r="G108" s="304">
        <f>'Иные цели'!G493</f>
        <v>0</v>
      </c>
      <c r="H108" s="47"/>
      <c r="I108" s="47"/>
      <c r="J108" s="47"/>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c r="EO108" s="72"/>
      <c r="EP108" s="72"/>
      <c r="EQ108" s="72"/>
      <c r="ER108" s="72"/>
      <c r="ES108" s="72"/>
      <c r="ET108" s="72"/>
      <c r="EU108" s="72"/>
      <c r="EV108" s="72"/>
      <c r="EW108" s="72"/>
      <c r="EX108" s="72"/>
      <c r="EY108" s="72"/>
      <c r="EZ108" s="72"/>
      <c r="FA108" s="72"/>
      <c r="FB108" s="72"/>
      <c r="FC108" s="72"/>
      <c r="FD108" s="72"/>
      <c r="FE108" s="72"/>
      <c r="FF108" s="72"/>
      <c r="FG108" s="72"/>
      <c r="FH108" s="72"/>
      <c r="FI108" s="72"/>
      <c r="FJ108" s="72"/>
      <c r="FK108" s="72"/>
      <c r="FL108" s="72"/>
      <c r="FM108" s="72"/>
      <c r="FN108" s="72"/>
      <c r="FO108" s="72"/>
      <c r="FP108" s="72"/>
      <c r="FQ108" s="72"/>
      <c r="FR108" s="72"/>
      <c r="FS108" s="72"/>
      <c r="FT108" s="72"/>
      <c r="FU108" s="72"/>
      <c r="FV108" s="72"/>
      <c r="FW108" s="72"/>
      <c r="FX108" s="72"/>
      <c r="FY108" s="72"/>
      <c r="FZ108" s="72"/>
      <c r="GA108" s="72"/>
      <c r="GB108" s="72"/>
      <c r="GC108" s="72"/>
      <c r="GD108" s="72"/>
      <c r="GE108" s="72"/>
    </row>
    <row r="109" spans="1:187" s="1" customFormat="1" ht="18.75" customHeight="1">
      <c r="A109" s="73" t="s">
        <v>63</v>
      </c>
      <c r="B109" s="51"/>
      <c r="C109" s="53" t="s">
        <v>388</v>
      </c>
      <c r="D109" s="220">
        <f t="shared" si="1"/>
        <v>10000</v>
      </c>
      <c r="E109" s="47">
        <f>'Местный бюджет'!G199</f>
        <v>10000</v>
      </c>
      <c r="F109" s="47"/>
      <c r="G109" s="47"/>
      <c r="H109" s="47"/>
      <c r="I109" s="47"/>
      <c r="J109" s="47"/>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c r="EO109" s="72"/>
      <c r="EP109" s="72"/>
      <c r="EQ109" s="72"/>
      <c r="ER109" s="72"/>
      <c r="ES109" s="72"/>
      <c r="ET109" s="72"/>
      <c r="EU109" s="72"/>
      <c r="EV109" s="72"/>
      <c r="EW109" s="72"/>
      <c r="EX109" s="72"/>
      <c r="EY109" s="72"/>
      <c r="EZ109" s="72"/>
      <c r="FA109" s="72"/>
      <c r="FB109" s="72"/>
      <c r="FC109" s="72"/>
      <c r="FD109" s="72"/>
      <c r="FE109" s="72"/>
      <c r="FF109" s="72"/>
      <c r="FG109" s="72"/>
      <c r="FH109" s="72"/>
      <c r="FI109" s="72"/>
      <c r="FJ109" s="72"/>
      <c r="FK109" s="72"/>
      <c r="FL109" s="72"/>
      <c r="FM109" s="72"/>
      <c r="FN109" s="72"/>
      <c r="FO109" s="72"/>
      <c r="FP109" s="72"/>
      <c r="FQ109" s="72"/>
      <c r="FR109" s="72"/>
      <c r="FS109" s="72"/>
      <c r="FT109" s="72"/>
      <c r="FU109" s="72"/>
      <c r="FV109" s="72"/>
      <c r="FW109" s="72"/>
      <c r="FX109" s="72"/>
      <c r="FY109" s="72"/>
      <c r="FZ109" s="72"/>
      <c r="GA109" s="72"/>
      <c r="GB109" s="72"/>
      <c r="GC109" s="72"/>
      <c r="GD109" s="72"/>
      <c r="GE109" s="72"/>
    </row>
    <row r="110" spans="1:187" s="1" customFormat="1" ht="17.25" customHeight="1">
      <c r="A110" s="73" t="s">
        <v>64</v>
      </c>
      <c r="B110" s="51"/>
      <c r="C110" s="53" t="s">
        <v>389</v>
      </c>
      <c r="D110" s="220">
        <f t="shared" si="1"/>
        <v>0</v>
      </c>
      <c r="E110" s="47"/>
      <c r="F110" s="47"/>
      <c r="G110" s="47"/>
      <c r="H110" s="47"/>
      <c r="I110" s="47"/>
      <c r="J110" s="47"/>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c r="FR110" s="72"/>
      <c r="FS110" s="72"/>
      <c r="FT110" s="72"/>
      <c r="FU110" s="72"/>
      <c r="FV110" s="72"/>
      <c r="FW110" s="72"/>
      <c r="FX110" s="72"/>
      <c r="FY110" s="72"/>
      <c r="FZ110" s="72"/>
      <c r="GA110" s="72"/>
      <c r="GB110" s="72"/>
      <c r="GC110" s="72"/>
      <c r="GD110" s="72"/>
      <c r="GE110" s="72"/>
    </row>
    <row r="111" spans="1:187" s="1" customFormat="1" ht="20.25" customHeight="1">
      <c r="A111" s="73" t="s">
        <v>65</v>
      </c>
      <c r="B111" s="51"/>
      <c r="C111" s="53" t="s">
        <v>390</v>
      </c>
      <c r="D111" s="220">
        <f t="shared" si="1"/>
        <v>71887</v>
      </c>
      <c r="E111" s="47">
        <f>'Местный бюджет'!G217</f>
        <v>50000</v>
      </c>
      <c r="F111" s="47"/>
      <c r="G111" s="228"/>
      <c r="H111" s="47">
        <f>Внебюджет!G226</f>
        <v>21887</v>
      </c>
      <c r="I111" s="47"/>
      <c r="J111" s="47"/>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c r="FL111" s="72"/>
      <c r="FM111" s="72"/>
      <c r="FN111" s="72"/>
      <c r="FO111" s="72"/>
      <c r="FP111" s="72"/>
      <c r="FQ111" s="72"/>
      <c r="FR111" s="72"/>
      <c r="FS111" s="72"/>
      <c r="FT111" s="72"/>
      <c r="FU111" s="72"/>
      <c r="FV111" s="72"/>
      <c r="FW111" s="72"/>
      <c r="FX111" s="72"/>
      <c r="FY111" s="72"/>
      <c r="FZ111" s="72"/>
      <c r="GA111" s="72"/>
      <c r="GB111" s="72"/>
      <c r="GC111" s="72"/>
      <c r="GD111" s="72"/>
      <c r="GE111" s="72"/>
    </row>
    <row r="112" spans="1:187" s="1" customFormat="1" ht="18" customHeight="1" hidden="1">
      <c r="A112" s="327" t="s">
        <v>555</v>
      </c>
      <c r="B112" s="51"/>
      <c r="C112" s="53" t="s">
        <v>390</v>
      </c>
      <c r="D112" s="220">
        <f t="shared" si="1"/>
        <v>0</v>
      </c>
      <c r="E112" s="47"/>
      <c r="F112" s="47"/>
      <c r="G112" s="304">
        <f>'Иные цели'!G423</f>
        <v>0</v>
      </c>
      <c r="H112" s="47"/>
      <c r="I112" s="47"/>
      <c r="J112" s="47"/>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c r="FL112" s="72"/>
      <c r="FM112" s="72"/>
      <c r="FN112" s="72"/>
      <c r="FO112" s="72"/>
      <c r="FP112" s="72"/>
      <c r="FQ112" s="72"/>
      <c r="FR112" s="72"/>
      <c r="FS112" s="72"/>
      <c r="FT112" s="72"/>
      <c r="FU112" s="72"/>
      <c r="FV112" s="72"/>
      <c r="FW112" s="72"/>
      <c r="FX112" s="72"/>
      <c r="FY112" s="72"/>
      <c r="FZ112" s="72"/>
      <c r="GA112" s="72"/>
      <c r="GB112" s="72"/>
      <c r="GC112" s="72"/>
      <c r="GD112" s="72"/>
      <c r="GE112" s="72"/>
    </row>
    <row r="113" spans="1:187" s="1" customFormat="1" ht="21.75" customHeight="1">
      <c r="A113" s="74" t="s">
        <v>11</v>
      </c>
      <c r="B113" s="51"/>
      <c r="C113" s="53"/>
      <c r="D113" s="220">
        <f>SUM(E113:H113)</f>
        <v>0</v>
      </c>
      <c r="E113" s="38">
        <f>E114</f>
        <v>0</v>
      </c>
      <c r="F113" s="47"/>
      <c r="G113" s="47">
        <f>G115</f>
        <v>0</v>
      </c>
      <c r="H113" s="47"/>
      <c r="I113" s="47"/>
      <c r="J113" s="47"/>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c r="GD113" s="72"/>
      <c r="GE113" s="72"/>
    </row>
    <row r="114" spans="1:187" s="1" customFormat="1" ht="43.5" customHeight="1">
      <c r="A114" s="74" t="s">
        <v>778</v>
      </c>
      <c r="B114" s="51"/>
      <c r="C114" s="53" t="s">
        <v>391</v>
      </c>
      <c r="D114" s="220">
        <f t="shared" si="1"/>
        <v>0</v>
      </c>
      <c r="E114" s="38">
        <f>'Местный бюджет'!G231</f>
        <v>0</v>
      </c>
      <c r="F114" s="47"/>
      <c r="G114" s="47"/>
      <c r="H114" s="47"/>
      <c r="I114" s="47"/>
      <c r="J114" s="47"/>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row>
    <row r="115" spans="1:187" s="1" customFormat="1" ht="18.75" customHeight="1">
      <c r="A115" s="352" t="s">
        <v>777</v>
      </c>
      <c r="B115" s="51"/>
      <c r="C115" s="53" t="s">
        <v>391</v>
      </c>
      <c r="D115" s="434">
        <f t="shared" si="1"/>
        <v>0</v>
      </c>
      <c r="E115" s="47"/>
      <c r="F115" s="47"/>
      <c r="G115" s="304">
        <f>'Иные цели'!G500</f>
        <v>0</v>
      </c>
      <c r="H115" s="47"/>
      <c r="I115" s="47"/>
      <c r="J115" s="47"/>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c r="GD115" s="72"/>
      <c r="GE115" s="72"/>
    </row>
    <row r="116" spans="1:187" s="1" customFormat="1" ht="30.75" customHeight="1">
      <c r="A116" s="74" t="s">
        <v>12</v>
      </c>
      <c r="B116" s="51"/>
      <c r="C116" s="53"/>
      <c r="D116" s="220">
        <f t="shared" si="1"/>
        <v>144460</v>
      </c>
      <c r="E116" s="47">
        <f>'Местный бюджет'!G250</f>
        <v>50000</v>
      </c>
      <c r="F116" s="47">
        <f>'Областной бюджет'!G187</f>
        <v>61000</v>
      </c>
      <c r="G116" s="47">
        <f>G122</f>
        <v>23460</v>
      </c>
      <c r="H116" s="47">
        <f>Внебюджет!G244</f>
        <v>10000</v>
      </c>
      <c r="I116" s="47"/>
      <c r="J116" s="47"/>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c r="FR116" s="72"/>
      <c r="FS116" s="72"/>
      <c r="FT116" s="72"/>
      <c r="FU116" s="72"/>
      <c r="FV116" s="72"/>
      <c r="FW116" s="72"/>
      <c r="FX116" s="72"/>
      <c r="FY116" s="72"/>
      <c r="FZ116" s="72"/>
      <c r="GA116" s="72"/>
      <c r="GB116" s="72"/>
      <c r="GC116" s="72"/>
      <c r="GD116" s="72"/>
      <c r="GE116" s="72"/>
    </row>
    <row r="117" spans="1:187" s="1" customFormat="1" ht="32.25" customHeight="1" hidden="1">
      <c r="A117" s="74" t="s">
        <v>258</v>
      </c>
      <c r="B117" s="51"/>
      <c r="C117" s="49" t="s">
        <v>393</v>
      </c>
      <c r="D117" s="220">
        <f t="shared" si="1"/>
        <v>0</v>
      </c>
      <c r="E117" s="52"/>
      <c r="F117" s="52"/>
      <c r="G117" s="52"/>
      <c r="H117" s="52"/>
      <c r="I117" s="52"/>
      <c r="J117" s="47"/>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c r="EZ117" s="72"/>
      <c r="FA117" s="72"/>
      <c r="FB117" s="72"/>
      <c r="FC117" s="72"/>
      <c r="FD117" s="72"/>
      <c r="FE117" s="72"/>
      <c r="FF117" s="72"/>
      <c r="FG117" s="72"/>
      <c r="FH117" s="72"/>
      <c r="FI117" s="72"/>
      <c r="FJ117" s="72"/>
      <c r="FK117" s="72"/>
      <c r="FL117" s="72"/>
      <c r="FM117" s="72"/>
      <c r="FN117" s="72"/>
      <c r="FO117" s="72"/>
      <c r="FP117" s="72"/>
      <c r="FQ117" s="72"/>
      <c r="FR117" s="72"/>
      <c r="FS117" s="72"/>
      <c r="FT117" s="72"/>
      <c r="FU117" s="72"/>
      <c r="FV117" s="72"/>
      <c r="FW117" s="72"/>
      <c r="FX117" s="72"/>
      <c r="FY117" s="72"/>
      <c r="FZ117" s="72"/>
      <c r="GA117" s="72"/>
      <c r="GB117" s="72"/>
      <c r="GC117" s="72"/>
      <c r="GD117" s="72"/>
      <c r="GE117" s="72"/>
    </row>
    <row r="118" spans="1:187" s="1" customFormat="1" ht="21.75" customHeight="1" hidden="1">
      <c r="A118" s="246" t="s">
        <v>500</v>
      </c>
      <c r="B118" s="51"/>
      <c r="C118" s="53" t="s">
        <v>392</v>
      </c>
      <c r="D118" s="220">
        <f t="shared" si="1"/>
        <v>0</v>
      </c>
      <c r="E118" s="47"/>
      <c r="F118" s="47"/>
      <c r="G118" s="47"/>
      <c r="H118" s="47"/>
      <c r="I118" s="47"/>
      <c r="J118" s="47"/>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2"/>
      <c r="FU118" s="72"/>
      <c r="FV118" s="72"/>
      <c r="FW118" s="72"/>
      <c r="FX118" s="72"/>
      <c r="FY118" s="72"/>
      <c r="FZ118" s="72"/>
      <c r="GA118" s="72"/>
      <c r="GB118" s="72"/>
      <c r="GC118" s="72"/>
      <c r="GD118" s="72"/>
      <c r="GE118" s="72"/>
    </row>
    <row r="119" spans="1:187" s="1" customFormat="1" ht="0.75" customHeight="1" hidden="1">
      <c r="A119" s="74" t="s">
        <v>12</v>
      </c>
      <c r="B119" s="51"/>
      <c r="C119" s="53" t="s">
        <v>609</v>
      </c>
      <c r="D119" s="220">
        <f t="shared" si="1"/>
        <v>0</v>
      </c>
      <c r="E119" s="47"/>
      <c r="F119" s="47"/>
      <c r="G119" s="47"/>
      <c r="H119" s="47"/>
      <c r="I119" s="47"/>
      <c r="J119" s="47"/>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c r="EO119" s="72"/>
      <c r="EP119" s="72"/>
      <c r="EQ119" s="72"/>
      <c r="ER119" s="72"/>
      <c r="ES119" s="72"/>
      <c r="ET119" s="72"/>
      <c r="EU119" s="72"/>
      <c r="EV119" s="72"/>
      <c r="EW119" s="72"/>
      <c r="EX119" s="72"/>
      <c r="EY119" s="72"/>
      <c r="EZ119" s="72"/>
      <c r="FA119" s="72"/>
      <c r="FB119" s="72"/>
      <c r="FC119" s="72"/>
      <c r="FD119" s="72"/>
      <c r="FE119" s="72"/>
      <c r="FF119" s="72"/>
      <c r="FG119" s="72"/>
      <c r="FH119" s="72"/>
      <c r="FI119" s="72"/>
      <c r="FJ119" s="72"/>
      <c r="FK119" s="72"/>
      <c r="FL119" s="72"/>
      <c r="FM119" s="72"/>
      <c r="FN119" s="72"/>
      <c r="FO119" s="72"/>
      <c r="FP119" s="72"/>
      <c r="FQ119" s="72"/>
      <c r="FR119" s="72"/>
      <c r="FS119" s="72"/>
      <c r="FT119" s="72"/>
      <c r="FU119" s="72"/>
      <c r="FV119" s="72"/>
      <c r="FW119" s="72"/>
      <c r="FX119" s="72"/>
      <c r="FY119" s="72"/>
      <c r="FZ119" s="72"/>
      <c r="GA119" s="72"/>
      <c r="GB119" s="72"/>
      <c r="GC119" s="72"/>
      <c r="GD119" s="72"/>
      <c r="GE119" s="72"/>
    </row>
    <row r="120" spans="1:187" s="1" customFormat="1" ht="18.75" customHeight="1" hidden="1">
      <c r="A120" s="352" t="s">
        <v>589</v>
      </c>
      <c r="B120" s="51"/>
      <c r="C120" s="53" t="s">
        <v>609</v>
      </c>
      <c r="D120" s="220">
        <f t="shared" si="1"/>
        <v>0</v>
      </c>
      <c r="E120" s="47"/>
      <c r="F120" s="47"/>
      <c r="G120" s="304">
        <f>'Иные цели'!G484</f>
        <v>0</v>
      </c>
      <c r="H120" s="47"/>
      <c r="I120" s="47"/>
      <c r="J120" s="47"/>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c r="DY120" s="72"/>
      <c r="DZ120" s="72"/>
      <c r="EA120" s="72"/>
      <c r="EB120" s="72"/>
      <c r="EC120" s="72"/>
      <c r="ED120" s="72"/>
      <c r="EE120" s="72"/>
      <c r="EF120" s="72"/>
      <c r="EG120" s="72"/>
      <c r="EH120" s="72"/>
      <c r="EI120" s="72"/>
      <c r="EJ120" s="72"/>
      <c r="EK120" s="72"/>
      <c r="EL120" s="72"/>
      <c r="EM120" s="72"/>
      <c r="EN120" s="72"/>
      <c r="EO120" s="72"/>
      <c r="EP120" s="72"/>
      <c r="EQ120" s="72"/>
      <c r="ER120" s="72"/>
      <c r="ES120" s="72"/>
      <c r="ET120" s="72"/>
      <c r="EU120" s="72"/>
      <c r="EV120" s="72"/>
      <c r="EW120" s="72"/>
      <c r="EX120" s="72"/>
      <c r="EY120" s="72"/>
      <c r="EZ120" s="72"/>
      <c r="FA120" s="72"/>
      <c r="FB120" s="72"/>
      <c r="FC120" s="72"/>
      <c r="FD120" s="72"/>
      <c r="FE120" s="72"/>
      <c r="FF120" s="72"/>
      <c r="FG120" s="72"/>
      <c r="FH120" s="72"/>
      <c r="FI120" s="72"/>
      <c r="FJ120" s="72"/>
      <c r="FK120" s="72"/>
      <c r="FL120" s="72"/>
      <c r="FM120" s="72"/>
      <c r="FN120" s="72"/>
      <c r="FO120" s="72"/>
      <c r="FP120" s="72"/>
      <c r="FQ120" s="72"/>
      <c r="FR120" s="72"/>
      <c r="FS120" s="72"/>
      <c r="FT120" s="72"/>
      <c r="FU120" s="72"/>
      <c r="FV120" s="72"/>
      <c r="FW120" s="72"/>
      <c r="FX120" s="72"/>
      <c r="FY120" s="72"/>
      <c r="FZ120" s="72"/>
      <c r="GA120" s="72"/>
      <c r="GB120" s="72"/>
      <c r="GC120" s="72"/>
      <c r="GD120" s="72"/>
      <c r="GE120" s="72"/>
    </row>
    <row r="121" spans="1:187" s="1" customFormat="1" ht="48.75" customHeight="1">
      <c r="A121" s="74" t="s">
        <v>746</v>
      </c>
      <c r="B121" s="51"/>
      <c r="C121" s="53" t="s">
        <v>392</v>
      </c>
      <c r="D121" s="220">
        <f>SUM(E121:H121)</f>
        <v>121000</v>
      </c>
      <c r="E121" s="47">
        <f>E116</f>
        <v>50000</v>
      </c>
      <c r="F121" s="47">
        <f>F116</f>
        <v>61000</v>
      </c>
      <c r="G121" s="47"/>
      <c r="H121" s="47">
        <f>H116</f>
        <v>10000</v>
      </c>
      <c r="I121" s="47"/>
      <c r="J121" s="47"/>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c r="EO121" s="72"/>
      <c r="EP121" s="72"/>
      <c r="EQ121" s="72"/>
      <c r="ER121" s="72"/>
      <c r="ES121" s="72"/>
      <c r="ET121" s="72"/>
      <c r="EU121" s="72"/>
      <c r="EV121" s="72"/>
      <c r="EW121" s="72"/>
      <c r="EX121" s="72"/>
      <c r="EY121" s="72"/>
      <c r="EZ121" s="72"/>
      <c r="FA121" s="72"/>
      <c r="FB121" s="72"/>
      <c r="FC121" s="72"/>
      <c r="FD121" s="72"/>
      <c r="FE121" s="72"/>
      <c r="FF121" s="72"/>
      <c r="FG121" s="72"/>
      <c r="FH121" s="72"/>
      <c r="FI121" s="72"/>
      <c r="FJ121" s="72"/>
      <c r="FK121" s="72"/>
      <c r="FL121" s="72"/>
      <c r="FM121" s="72"/>
      <c r="FN121" s="72"/>
      <c r="FO121" s="72"/>
      <c r="FP121" s="72"/>
      <c r="FQ121" s="72"/>
      <c r="FR121" s="72"/>
      <c r="FS121" s="72"/>
      <c r="FT121" s="72"/>
      <c r="FU121" s="72"/>
      <c r="FV121" s="72"/>
      <c r="FW121" s="72"/>
      <c r="FX121" s="72"/>
      <c r="FY121" s="72"/>
      <c r="FZ121" s="72"/>
      <c r="GA121" s="72"/>
      <c r="GB121" s="72"/>
      <c r="GC121" s="72"/>
      <c r="GD121" s="72"/>
      <c r="GE121" s="72"/>
    </row>
    <row r="122" spans="1:187" s="429" customFormat="1" ht="20.25" customHeight="1">
      <c r="A122" s="352" t="s">
        <v>705</v>
      </c>
      <c r="B122" s="48"/>
      <c r="C122" s="53" t="s">
        <v>609</v>
      </c>
      <c r="D122" s="434">
        <f>SUM(E122:H122)</f>
        <v>23460</v>
      </c>
      <c r="E122" s="47"/>
      <c r="F122" s="47"/>
      <c r="G122" s="47">
        <f>'Иные цели'!G518</f>
        <v>23460</v>
      </c>
      <c r="H122" s="47"/>
      <c r="I122" s="47"/>
      <c r="J122" s="47"/>
      <c r="K122" s="430"/>
      <c r="L122" s="430"/>
      <c r="M122" s="430"/>
      <c r="N122" s="430"/>
      <c r="O122" s="430"/>
      <c r="P122" s="430"/>
      <c r="Q122" s="430"/>
      <c r="R122" s="430"/>
      <c r="S122" s="430"/>
      <c r="T122" s="430"/>
      <c r="U122" s="430"/>
      <c r="V122" s="430"/>
      <c r="W122" s="430"/>
      <c r="X122" s="430"/>
      <c r="Y122" s="430"/>
      <c r="Z122" s="430"/>
      <c r="AA122" s="430"/>
      <c r="AB122" s="430"/>
      <c r="AC122" s="430"/>
      <c r="AD122" s="430"/>
      <c r="AE122" s="430"/>
      <c r="AF122" s="430"/>
      <c r="AG122" s="430"/>
      <c r="AH122" s="430"/>
      <c r="AI122" s="430"/>
      <c r="AJ122" s="430"/>
      <c r="AK122" s="430"/>
      <c r="AL122" s="430"/>
      <c r="AM122" s="430"/>
      <c r="AN122" s="430"/>
      <c r="AO122" s="430"/>
      <c r="AP122" s="430"/>
      <c r="AQ122" s="430"/>
      <c r="AR122" s="430"/>
      <c r="AS122" s="430"/>
      <c r="AT122" s="430"/>
      <c r="AU122" s="430"/>
      <c r="AV122" s="430"/>
      <c r="AW122" s="430"/>
      <c r="AX122" s="430"/>
      <c r="AY122" s="430"/>
      <c r="AZ122" s="430"/>
      <c r="BA122" s="430"/>
      <c r="BB122" s="430"/>
      <c r="BC122" s="430"/>
      <c r="BD122" s="430"/>
      <c r="BE122" s="430"/>
      <c r="BF122" s="430"/>
      <c r="BG122" s="430"/>
      <c r="BH122" s="430"/>
      <c r="BI122" s="430"/>
      <c r="BJ122" s="430"/>
      <c r="BK122" s="430"/>
      <c r="BL122" s="430"/>
      <c r="BM122" s="430"/>
      <c r="BN122" s="430"/>
      <c r="BO122" s="430"/>
      <c r="BP122" s="430"/>
      <c r="BQ122" s="430"/>
      <c r="BR122" s="430"/>
      <c r="BS122" s="430"/>
      <c r="BT122" s="430"/>
      <c r="BU122" s="430"/>
      <c r="BV122" s="430"/>
      <c r="BW122" s="430"/>
      <c r="BX122" s="430"/>
      <c r="BY122" s="430"/>
      <c r="BZ122" s="430"/>
      <c r="CA122" s="430"/>
      <c r="CB122" s="430"/>
      <c r="CC122" s="430"/>
      <c r="CD122" s="430"/>
      <c r="CE122" s="430"/>
      <c r="CF122" s="430"/>
      <c r="CG122" s="430"/>
      <c r="CH122" s="430"/>
      <c r="CI122" s="430"/>
      <c r="CJ122" s="430"/>
      <c r="CK122" s="430"/>
      <c r="CL122" s="430"/>
      <c r="CM122" s="430"/>
      <c r="CN122" s="430"/>
      <c r="CO122" s="430"/>
      <c r="CP122" s="430"/>
      <c r="CQ122" s="430"/>
      <c r="CR122" s="430"/>
      <c r="CS122" s="430"/>
      <c r="CT122" s="430"/>
      <c r="CU122" s="430"/>
      <c r="CV122" s="430"/>
      <c r="CW122" s="430"/>
      <c r="CX122" s="430"/>
      <c r="CY122" s="430"/>
      <c r="CZ122" s="430"/>
      <c r="DA122" s="430"/>
      <c r="DB122" s="430"/>
      <c r="DC122" s="430"/>
      <c r="DD122" s="430"/>
      <c r="DE122" s="430"/>
      <c r="DF122" s="430"/>
      <c r="DG122" s="430"/>
      <c r="DH122" s="430"/>
      <c r="DI122" s="430"/>
      <c r="DJ122" s="430"/>
      <c r="DK122" s="430"/>
      <c r="DL122" s="430"/>
      <c r="DM122" s="430"/>
      <c r="DN122" s="430"/>
      <c r="DO122" s="430"/>
      <c r="DP122" s="430"/>
      <c r="DQ122" s="430"/>
      <c r="DR122" s="430"/>
      <c r="DS122" s="430"/>
      <c r="DT122" s="430"/>
      <c r="DU122" s="430"/>
      <c r="DV122" s="430"/>
      <c r="DW122" s="430"/>
      <c r="DX122" s="430"/>
      <c r="DY122" s="430"/>
      <c r="DZ122" s="430"/>
      <c r="EA122" s="430"/>
      <c r="EB122" s="430"/>
      <c r="EC122" s="430"/>
      <c r="ED122" s="430"/>
      <c r="EE122" s="430"/>
      <c r="EF122" s="430"/>
      <c r="EG122" s="430"/>
      <c r="EH122" s="430"/>
      <c r="EI122" s="430"/>
      <c r="EJ122" s="430"/>
      <c r="EK122" s="430"/>
      <c r="EL122" s="430"/>
      <c r="EM122" s="430"/>
      <c r="EN122" s="430"/>
      <c r="EO122" s="430"/>
      <c r="EP122" s="430"/>
      <c r="EQ122" s="430"/>
      <c r="ER122" s="430"/>
      <c r="ES122" s="430"/>
      <c r="ET122" s="430"/>
      <c r="EU122" s="430"/>
      <c r="EV122" s="430"/>
      <c r="EW122" s="430"/>
      <c r="EX122" s="430"/>
      <c r="EY122" s="430"/>
      <c r="EZ122" s="430"/>
      <c r="FA122" s="430"/>
      <c r="FB122" s="430"/>
      <c r="FC122" s="430"/>
      <c r="FD122" s="430"/>
      <c r="FE122" s="430"/>
      <c r="FF122" s="430"/>
      <c r="FG122" s="430"/>
      <c r="FH122" s="430"/>
      <c r="FI122" s="430"/>
      <c r="FJ122" s="430"/>
      <c r="FK122" s="430"/>
      <c r="FL122" s="430"/>
      <c r="FM122" s="430"/>
      <c r="FN122" s="430"/>
      <c r="FO122" s="430"/>
      <c r="FP122" s="430"/>
      <c r="FQ122" s="430"/>
      <c r="FR122" s="430"/>
      <c r="FS122" s="430"/>
      <c r="FT122" s="430"/>
      <c r="FU122" s="430"/>
      <c r="FV122" s="430"/>
      <c r="FW122" s="430"/>
      <c r="FX122" s="430"/>
      <c r="FY122" s="430"/>
      <c r="FZ122" s="430"/>
      <c r="GA122" s="430"/>
      <c r="GB122" s="430"/>
      <c r="GC122" s="430"/>
      <c r="GD122" s="430"/>
      <c r="GE122" s="430"/>
    </row>
    <row r="123" spans="1:187" s="1" customFormat="1" ht="36.75" customHeight="1">
      <c r="A123" s="73" t="s">
        <v>66</v>
      </c>
      <c r="B123" s="51"/>
      <c r="C123" s="49"/>
      <c r="D123" s="220">
        <f t="shared" si="1"/>
        <v>25000</v>
      </c>
      <c r="E123" s="47">
        <f>'Местный бюджет'!G263</f>
        <v>0</v>
      </c>
      <c r="F123" s="47">
        <f>'Областной бюджет'!G193</f>
        <v>25000</v>
      </c>
      <c r="G123" s="47">
        <f>G136</f>
        <v>0</v>
      </c>
      <c r="H123" s="47">
        <f>Внебюджет!G265</f>
        <v>0</v>
      </c>
      <c r="I123" s="52"/>
      <c r="J123" s="47"/>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2"/>
      <c r="FU123" s="72"/>
      <c r="FV123" s="72"/>
      <c r="FW123" s="72"/>
      <c r="FX123" s="72"/>
      <c r="FY123" s="72"/>
      <c r="FZ123" s="72"/>
      <c r="GA123" s="72"/>
      <c r="GB123" s="72"/>
      <c r="GC123" s="72"/>
      <c r="GD123" s="72"/>
      <c r="GE123" s="72"/>
    </row>
    <row r="124" spans="1:187" s="84" customFormat="1" ht="60" customHeight="1" hidden="1">
      <c r="A124" s="92" t="s">
        <v>174</v>
      </c>
      <c r="B124" s="81" t="s">
        <v>155</v>
      </c>
      <c r="C124" s="82">
        <v>400</v>
      </c>
      <c r="D124" s="220">
        <f t="shared" si="1"/>
        <v>0</v>
      </c>
      <c r="E124" s="83"/>
      <c r="F124" s="83"/>
      <c r="G124" s="83"/>
      <c r="H124" s="83"/>
      <c r="I124" s="83"/>
      <c r="J124" s="83"/>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4"/>
      <c r="BR124" s="114"/>
      <c r="BS124" s="114"/>
      <c r="BT124" s="114"/>
      <c r="BU124" s="114"/>
      <c r="BV124" s="114"/>
      <c r="BW124" s="114"/>
      <c r="BX124" s="114"/>
      <c r="BY124" s="114"/>
      <c r="BZ124" s="114"/>
      <c r="CA124" s="114"/>
      <c r="CB124" s="114"/>
      <c r="CC124" s="114"/>
      <c r="CD124" s="114"/>
      <c r="CE124" s="114"/>
      <c r="CF124" s="114"/>
      <c r="CG124" s="114"/>
      <c r="CH124" s="114"/>
      <c r="CI124" s="114"/>
      <c r="CJ124" s="114"/>
      <c r="CK124" s="114"/>
      <c r="CL124" s="114"/>
      <c r="CM124" s="114"/>
      <c r="CN124" s="114"/>
      <c r="CO124" s="114"/>
      <c r="CP124" s="114"/>
      <c r="CQ124" s="114"/>
      <c r="CR124" s="114"/>
      <c r="CS124" s="114"/>
      <c r="CT124" s="114"/>
      <c r="CU124" s="114"/>
      <c r="CV124" s="114"/>
      <c r="CW124" s="114"/>
      <c r="CX124" s="114"/>
      <c r="CY124" s="114"/>
      <c r="CZ124" s="114"/>
      <c r="DA124" s="114"/>
      <c r="DB124" s="114"/>
      <c r="DC124" s="114"/>
      <c r="DD124" s="114"/>
      <c r="DE124" s="114"/>
      <c r="DF124" s="114"/>
      <c r="DG124" s="114"/>
      <c r="DH124" s="114"/>
      <c r="DI124" s="114"/>
      <c r="DJ124" s="114"/>
      <c r="DK124" s="114"/>
      <c r="DL124" s="114"/>
      <c r="DM124" s="114"/>
      <c r="DN124" s="114"/>
      <c r="DO124" s="114"/>
      <c r="DP124" s="114"/>
      <c r="DQ124" s="114"/>
      <c r="DR124" s="114"/>
      <c r="DS124" s="114"/>
      <c r="DT124" s="114"/>
      <c r="DU124" s="114"/>
      <c r="DV124" s="114"/>
      <c r="DW124" s="114"/>
      <c r="DX124" s="114"/>
      <c r="DY124" s="114"/>
      <c r="DZ124" s="114"/>
      <c r="EA124" s="114"/>
      <c r="EB124" s="114"/>
      <c r="EC124" s="114"/>
      <c r="ED124" s="114"/>
      <c r="EE124" s="114"/>
      <c r="EF124" s="114"/>
      <c r="EG124" s="114"/>
      <c r="EH124" s="114"/>
      <c r="EI124" s="114"/>
      <c r="EJ124" s="114"/>
      <c r="EK124" s="114"/>
      <c r="EL124" s="114"/>
      <c r="EM124" s="114"/>
      <c r="EN124" s="114"/>
      <c r="EO124" s="114"/>
      <c r="EP124" s="114"/>
      <c r="EQ124" s="114"/>
      <c r="ER124" s="114"/>
      <c r="ES124" s="114"/>
      <c r="ET124" s="114"/>
      <c r="EU124" s="114"/>
      <c r="EV124" s="114"/>
      <c r="EW124" s="114"/>
      <c r="EX124" s="114"/>
      <c r="EY124" s="114"/>
      <c r="EZ124" s="114"/>
      <c r="FA124" s="114"/>
      <c r="FB124" s="114"/>
      <c r="FC124" s="114"/>
      <c r="FD124" s="114"/>
      <c r="FE124" s="114"/>
      <c r="FF124" s="114"/>
      <c r="FG124" s="114"/>
      <c r="FH124" s="114"/>
      <c r="FI124" s="114"/>
      <c r="FJ124" s="114"/>
      <c r="FK124" s="114"/>
      <c r="FL124" s="114"/>
      <c r="FM124" s="114"/>
      <c r="FN124" s="114"/>
      <c r="FO124" s="114"/>
      <c r="FP124" s="114"/>
      <c r="FQ124" s="114"/>
      <c r="FR124" s="114"/>
      <c r="FS124" s="114"/>
      <c r="FT124" s="114"/>
      <c r="FU124" s="114"/>
      <c r="FV124" s="114"/>
      <c r="FW124" s="114"/>
      <c r="FX124" s="114"/>
      <c r="FY124" s="114"/>
      <c r="FZ124" s="114"/>
      <c r="GA124" s="114"/>
      <c r="GB124" s="114"/>
      <c r="GC124" s="114"/>
      <c r="GD124" s="114"/>
      <c r="GE124" s="114"/>
    </row>
    <row r="125" spans="1:187" s="87" customFormat="1" ht="67.5" customHeight="1" hidden="1">
      <c r="A125" s="92" t="s">
        <v>156</v>
      </c>
      <c r="B125" s="85" t="s">
        <v>157</v>
      </c>
      <c r="C125" s="80" t="s">
        <v>395</v>
      </c>
      <c r="D125" s="220">
        <f t="shared" si="1"/>
        <v>0</v>
      </c>
      <c r="E125" s="86"/>
      <c r="F125" s="86"/>
      <c r="G125" s="86"/>
      <c r="H125" s="86"/>
      <c r="I125" s="86"/>
      <c r="J125" s="86"/>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15"/>
      <c r="CL125" s="115"/>
      <c r="CM125" s="115"/>
      <c r="CN125" s="115"/>
      <c r="CO125" s="115"/>
      <c r="CP125" s="115"/>
      <c r="CQ125" s="115"/>
      <c r="CR125" s="115"/>
      <c r="CS125" s="115"/>
      <c r="CT125" s="115"/>
      <c r="CU125" s="115"/>
      <c r="CV125" s="115"/>
      <c r="CW125" s="115"/>
      <c r="CX125" s="115"/>
      <c r="CY125" s="115"/>
      <c r="CZ125" s="115"/>
      <c r="DA125" s="115"/>
      <c r="DB125" s="115"/>
      <c r="DC125" s="115"/>
      <c r="DD125" s="115"/>
      <c r="DE125" s="115"/>
      <c r="DF125" s="115"/>
      <c r="DG125" s="115"/>
      <c r="DH125" s="115"/>
      <c r="DI125" s="115"/>
      <c r="DJ125" s="115"/>
      <c r="DK125" s="115"/>
      <c r="DL125" s="115"/>
      <c r="DM125" s="115"/>
      <c r="DN125" s="115"/>
      <c r="DO125" s="115"/>
      <c r="DP125" s="115"/>
      <c r="DQ125" s="115"/>
      <c r="DR125" s="115"/>
      <c r="DS125" s="115"/>
      <c r="DT125" s="115"/>
      <c r="DU125" s="115"/>
      <c r="DV125" s="115"/>
      <c r="DW125" s="115"/>
      <c r="DX125" s="115"/>
      <c r="DY125" s="115"/>
      <c r="DZ125" s="115"/>
      <c r="EA125" s="115"/>
      <c r="EB125" s="115"/>
      <c r="EC125" s="115"/>
      <c r="ED125" s="115"/>
      <c r="EE125" s="115"/>
      <c r="EF125" s="115"/>
      <c r="EG125" s="115"/>
      <c r="EH125" s="115"/>
      <c r="EI125" s="115"/>
      <c r="EJ125" s="115"/>
      <c r="EK125" s="115"/>
      <c r="EL125" s="115"/>
      <c r="EM125" s="115"/>
      <c r="EN125" s="115"/>
      <c r="EO125" s="115"/>
      <c r="EP125" s="115"/>
      <c r="EQ125" s="115"/>
      <c r="ER125" s="115"/>
      <c r="ES125" s="115"/>
      <c r="ET125" s="115"/>
      <c r="EU125" s="115"/>
      <c r="EV125" s="115"/>
      <c r="EW125" s="115"/>
      <c r="EX125" s="115"/>
      <c r="EY125" s="115"/>
      <c r="EZ125" s="115"/>
      <c r="FA125" s="115"/>
      <c r="FB125" s="115"/>
      <c r="FC125" s="115"/>
      <c r="FD125" s="115"/>
      <c r="FE125" s="115"/>
      <c r="FF125" s="115"/>
      <c r="FG125" s="115"/>
      <c r="FH125" s="115"/>
      <c r="FI125" s="115"/>
      <c r="FJ125" s="115"/>
      <c r="FK125" s="115"/>
      <c r="FL125" s="115"/>
      <c r="FM125" s="115"/>
      <c r="FN125" s="115"/>
      <c r="FO125" s="115"/>
      <c r="FP125" s="115"/>
      <c r="FQ125" s="115"/>
      <c r="FR125" s="115"/>
      <c r="FS125" s="115"/>
      <c r="FT125" s="115"/>
      <c r="FU125" s="115"/>
      <c r="FV125" s="115"/>
      <c r="FW125" s="115"/>
      <c r="FX125" s="115"/>
      <c r="FY125" s="115"/>
      <c r="FZ125" s="115"/>
      <c r="GA125" s="115"/>
      <c r="GB125" s="115"/>
      <c r="GC125" s="115"/>
      <c r="GD125" s="115"/>
      <c r="GE125" s="115"/>
    </row>
    <row r="126" spans="1:187" s="87" customFormat="1" ht="70.5" customHeight="1" hidden="1">
      <c r="A126" s="92" t="s">
        <v>158</v>
      </c>
      <c r="B126" s="85" t="s">
        <v>159</v>
      </c>
      <c r="C126" s="80" t="s">
        <v>396</v>
      </c>
      <c r="D126" s="220">
        <f t="shared" si="1"/>
        <v>0</v>
      </c>
      <c r="E126" s="86"/>
      <c r="F126" s="86"/>
      <c r="G126" s="86"/>
      <c r="H126" s="86"/>
      <c r="I126" s="86"/>
      <c r="J126" s="86"/>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5"/>
      <c r="CS126" s="115"/>
      <c r="CT126" s="115"/>
      <c r="CU126" s="115"/>
      <c r="CV126" s="115"/>
      <c r="CW126" s="115"/>
      <c r="CX126" s="115"/>
      <c r="CY126" s="115"/>
      <c r="CZ126" s="115"/>
      <c r="DA126" s="115"/>
      <c r="DB126" s="115"/>
      <c r="DC126" s="115"/>
      <c r="DD126" s="115"/>
      <c r="DE126" s="115"/>
      <c r="DF126" s="115"/>
      <c r="DG126" s="115"/>
      <c r="DH126" s="115"/>
      <c r="DI126" s="115"/>
      <c r="DJ126" s="115"/>
      <c r="DK126" s="115"/>
      <c r="DL126" s="115"/>
      <c r="DM126" s="115"/>
      <c r="DN126" s="115"/>
      <c r="DO126" s="115"/>
      <c r="DP126" s="115"/>
      <c r="DQ126" s="115"/>
      <c r="DR126" s="115"/>
      <c r="DS126" s="115"/>
      <c r="DT126" s="115"/>
      <c r="DU126" s="115"/>
      <c r="DV126" s="115"/>
      <c r="DW126" s="115"/>
      <c r="DX126" s="115"/>
      <c r="DY126" s="115"/>
      <c r="DZ126" s="115"/>
      <c r="EA126" s="115"/>
      <c r="EB126" s="115"/>
      <c r="EC126" s="115"/>
      <c r="ED126" s="115"/>
      <c r="EE126" s="115"/>
      <c r="EF126" s="115"/>
      <c r="EG126" s="115"/>
      <c r="EH126" s="115"/>
      <c r="EI126" s="115"/>
      <c r="EJ126" s="115"/>
      <c r="EK126" s="115"/>
      <c r="EL126" s="115"/>
      <c r="EM126" s="115"/>
      <c r="EN126" s="115"/>
      <c r="EO126" s="115"/>
      <c r="EP126" s="115"/>
      <c r="EQ126" s="115"/>
      <c r="ER126" s="115"/>
      <c r="ES126" s="115"/>
      <c r="ET126" s="115"/>
      <c r="EU126" s="115"/>
      <c r="EV126" s="115"/>
      <c r="EW126" s="115"/>
      <c r="EX126" s="115"/>
      <c r="EY126" s="115"/>
      <c r="EZ126" s="115"/>
      <c r="FA126" s="115"/>
      <c r="FB126" s="115"/>
      <c r="FC126" s="115"/>
      <c r="FD126" s="115"/>
      <c r="FE126" s="115"/>
      <c r="FF126" s="115"/>
      <c r="FG126" s="115"/>
      <c r="FH126" s="115"/>
      <c r="FI126" s="115"/>
      <c r="FJ126" s="115"/>
      <c r="FK126" s="115"/>
      <c r="FL126" s="115"/>
      <c r="FM126" s="115"/>
      <c r="FN126" s="115"/>
      <c r="FO126" s="115"/>
      <c r="FP126" s="115"/>
      <c r="FQ126" s="115"/>
      <c r="FR126" s="115"/>
      <c r="FS126" s="115"/>
      <c r="FT126" s="115"/>
      <c r="FU126" s="115"/>
      <c r="FV126" s="115"/>
      <c r="FW126" s="115"/>
      <c r="FX126" s="115"/>
      <c r="FY126" s="115"/>
      <c r="FZ126" s="115"/>
      <c r="GA126" s="115"/>
      <c r="GB126" s="115"/>
      <c r="GC126" s="115"/>
      <c r="GD126" s="115"/>
      <c r="GE126" s="115"/>
    </row>
    <row r="127" spans="1:187" s="96" customFormat="1" ht="23.25" customHeight="1" hidden="1">
      <c r="A127" s="97" t="s">
        <v>160</v>
      </c>
      <c r="B127" s="98" t="s">
        <v>161</v>
      </c>
      <c r="C127" s="99">
        <v>100</v>
      </c>
      <c r="D127" s="220">
        <f t="shared" si="1"/>
        <v>0</v>
      </c>
      <c r="E127" s="99"/>
      <c r="F127" s="99"/>
      <c r="G127" s="99"/>
      <c r="H127" s="99"/>
      <c r="I127" s="99"/>
      <c r="J127" s="99"/>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c r="BX127" s="125"/>
      <c r="BY127" s="125"/>
      <c r="BZ127" s="125"/>
      <c r="CA127" s="125"/>
      <c r="CB127" s="125"/>
      <c r="CC127" s="125"/>
      <c r="CD127" s="125"/>
      <c r="CE127" s="125"/>
      <c r="CF127" s="125"/>
      <c r="CG127" s="125"/>
      <c r="CH127" s="125"/>
      <c r="CI127" s="125"/>
      <c r="CJ127" s="125"/>
      <c r="CK127" s="125"/>
      <c r="CL127" s="125"/>
      <c r="CM127" s="125"/>
      <c r="CN127" s="125"/>
      <c r="CO127" s="125"/>
      <c r="CP127" s="125"/>
      <c r="CQ127" s="125"/>
      <c r="CR127" s="125"/>
      <c r="CS127" s="125"/>
      <c r="CT127" s="125"/>
      <c r="CU127" s="125"/>
      <c r="CV127" s="125"/>
      <c r="CW127" s="125"/>
      <c r="CX127" s="125"/>
      <c r="CY127" s="125"/>
      <c r="CZ127" s="125"/>
      <c r="DA127" s="125"/>
      <c r="DB127" s="125"/>
      <c r="DC127" s="125"/>
      <c r="DD127" s="125"/>
      <c r="DE127" s="125"/>
      <c r="DF127" s="125"/>
      <c r="DG127" s="125"/>
      <c r="DH127" s="125"/>
      <c r="DI127" s="125"/>
      <c r="DJ127" s="125"/>
      <c r="DK127" s="125"/>
      <c r="DL127" s="125"/>
      <c r="DM127" s="125"/>
      <c r="DN127" s="125"/>
      <c r="DO127" s="125"/>
      <c r="DP127" s="125"/>
      <c r="DQ127" s="125"/>
      <c r="DR127" s="125"/>
      <c r="DS127" s="125"/>
      <c r="DT127" s="125"/>
      <c r="DU127" s="125"/>
      <c r="DV127" s="125"/>
      <c r="DW127" s="125"/>
      <c r="DX127" s="125"/>
      <c r="DY127" s="125"/>
      <c r="DZ127" s="125"/>
      <c r="EA127" s="125"/>
      <c r="EB127" s="125"/>
      <c r="EC127" s="125"/>
      <c r="ED127" s="125"/>
      <c r="EE127" s="125"/>
      <c r="EF127" s="125"/>
      <c r="EG127" s="125"/>
      <c r="EH127" s="125"/>
      <c r="EI127" s="125"/>
      <c r="EJ127" s="125"/>
      <c r="EK127" s="125"/>
      <c r="EL127" s="125"/>
      <c r="EM127" s="125"/>
      <c r="EN127" s="125"/>
      <c r="EO127" s="125"/>
      <c r="EP127" s="125"/>
      <c r="EQ127" s="125"/>
      <c r="ER127" s="125"/>
      <c r="ES127" s="125"/>
      <c r="ET127" s="125"/>
      <c r="EU127" s="125"/>
      <c r="EV127" s="125"/>
      <c r="EW127" s="125"/>
      <c r="EX127" s="125"/>
      <c r="EY127" s="125"/>
      <c r="EZ127" s="125"/>
      <c r="FA127" s="125"/>
      <c r="FB127" s="125"/>
      <c r="FC127" s="125"/>
      <c r="FD127" s="125"/>
      <c r="FE127" s="125"/>
      <c r="FF127" s="125"/>
      <c r="FG127" s="125"/>
      <c r="FH127" s="125"/>
      <c r="FI127" s="125"/>
      <c r="FJ127" s="125"/>
      <c r="FK127" s="125"/>
      <c r="FL127" s="125"/>
      <c r="FM127" s="125"/>
      <c r="FN127" s="125"/>
      <c r="FO127" s="125"/>
      <c r="FP127" s="125"/>
      <c r="FQ127" s="125"/>
      <c r="FR127" s="125"/>
      <c r="FS127" s="125"/>
      <c r="FT127" s="125"/>
      <c r="FU127" s="125"/>
      <c r="FV127" s="125"/>
      <c r="FW127" s="125"/>
      <c r="FX127" s="125"/>
      <c r="FY127" s="125"/>
      <c r="FZ127" s="125"/>
      <c r="GA127" s="125"/>
      <c r="GB127" s="125"/>
      <c r="GC127" s="125"/>
      <c r="GD127" s="125"/>
      <c r="GE127" s="125"/>
    </row>
    <row r="128" spans="1:187" s="87" customFormat="1" ht="36" customHeight="1" hidden="1">
      <c r="A128" s="92" t="s">
        <v>163</v>
      </c>
      <c r="B128" s="85" t="s">
        <v>162</v>
      </c>
      <c r="C128" s="80" t="s">
        <v>397</v>
      </c>
      <c r="D128" s="220">
        <f t="shared" si="1"/>
        <v>0</v>
      </c>
      <c r="E128" s="86"/>
      <c r="F128" s="86"/>
      <c r="G128" s="86"/>
      <c r="H128" s="86"/>
      <c r="I128" s="86"/>
      <c r="J128" s="86"/>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15"/>
      <c r="CY128" s="115"/>
      <c r="CZ128" s="115"/>
      <c r="DA128" s="115"/>
      <c r="DB128" s="115"/>
      <c r="DC128" s="115"/>
      <c r="DD128" s="115"/>
      <c r="DE128" s="115"/>
      <c r="DF128" s="115"/>
      <c r="DG128" s="115"/>
      <c r="DH128" s="115"/>
      <c r="DI128" s="115"/>
      <c r="DJ128" s="115"/>
      <c r="DK128" s="115"/>
      <c r="DL128" s="115"/>
      <c r="DM128" s="115"/>
      <c r="DN128" s="115"/>
      <c r="DO128" s="115"/>
      <c r="DP128" s="115"/>
      <c r="DQ128" s="115"/>
      <c r="DR128" s="115"/>
      <c r="DS128" s="115"/>
      <c r="DT128" s="115"/>
      <c r="DU128" s="115"/>
      <c r="DV128" s="115"/>
      <c r="DW128" s="115"/>
      <c r="DX128" s="115"/>
      <c r="DY128" s="115"/>
      <c r="DZ128" s="115"/>
      <c r="EA128" s="115"/>
      <c r="EB128" s="115"/>
      <c r="EC128" s="115"/>
      <c r="ED128" s="115"/>
      <c r="EE128" s="115"/>
      <c r="EF128" s="115"/>
      <c r="EG128" s="115"/>
      <c r="EH128" s="115"/>
      <c r="EI128" s="115"/>
      <c r="EJ128" s="115"/>
      <c r="EK128" s="115"/>
      <c r="EL128" s="115"/>
      <c r="EM128" s="115"/>
      <c r="EN128" s="115"/>
      <c r="EO128" s="115"/>
      <c r="EP128" s="115"/>
      <c r="EQ128" s="115"/>
      <c r="ER128" s="115"/>
      <c r="ES128" s="115"/>
      <c r="ET128" s="115"/>
      <c r="EU128" s="115"/>
      <c r="EV128" s="115"/>
      <c r="EW128" s="115"/>
      <c r="EX128" s="115"/>
      <c r="EY128" s="115"/>
      <c r="EZ128" s="115"/>
      <c r="FA128" s="115"/>
      <c r="FB128" s="115"/>
      <c r="FC128" s="115"/>
      <c r="FD128" s="115"/>
      <c r="FE128" s="115"/>
      <c r="FF128" s="115"/>
      <c r="FG128" s="115"/>
      <c r="FH128" s="115"/>
      <c r="FI128" s="115"/>
      <c r="FJ128" s="115"/>
      <c r="FK128" s="115"/>
      <c r="FL128" s="115"/>
      <c r="FM128" s="115"/>
      <c r="FN128" s="115"/>
      <c r="FO128" s="115"/>
      <c r="FP128" s="115"/>
      <c r="FQ128" s="115"/>
      <c r="FR128" s="115"/>
      <c r="FS128" s="115"/>
      <c r="FT128" s="115"/>
      <c r="FU128" s="115"/>
      <c r="FV128" s="115"/>
      <c r="FW128" s="115"/>
      <c r="FX128" s="115"/>
      <c r="FY128" s="115"/>
      <c r="FZ128" s="115"/>
      <c r="GA128" s="115"/>
      <c r="GB128" s="115"/>
      <c r="GC128" s="115"/>
      <c r="GD128" s="115"/>
      <c r="GE128" s="115"/>
    </row>
    <row r="129" spans="1:187" s="87" customFormat="1" ht="18.75" customHeight="1" hidden="1">
      <c r="A129" s="92" t="s">
        <v>164</v>
      </c>
      <c r="B129" s="85" t="s">
        <v>165</v>
      </c>
      <c r="C129" s="80" t="s">
        <v>397</v>
      </c>
      <c r="D129" s="220">
        <f t="shared" si="1"/>
        <v>0</v>
      </c>
      <c r="E129" s="86"/>
      <c r="F129" s="86"/>
      <c r="G129" s="86"/>
      <c r="H129" s="86"/>
      <c r="I129" s="86"/>
      <c r="J129" s="86"/>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c r="EK129" s="115"/>
      <c r="EL129" s="115"/>
      <c r="EM129" s="115"/>
      <c r="EN129" s="115"/>
      <c r="EO129" s="115"/>
      <c r="EP129" s="115"/>
      <c r="EQ129" s="115"/>
      <c r="ER129" s="115"/>
      <c r="ES129" s="115"/>
      <c r="ET129" s="115"/>
      <c r="EU129" s="115"/>
      <c r="EV129" s="115"/>
      <c r="EW129" s="115"/>
      <c r="EX129" s="115"/>
      <c r="EY129" s="115"/>
      <c r="EZ129" s="115"/>
      <c r="FA129" s="115"/>
      <c r="FB129" s="115"/>
      <c r="FC129" s="115"/>
      <c r="FD129" s="115"/>
      <c r="FE129" s="115"/>
      <c r="FF129" s="115"/>
      <c r="FG129" s="115"/>
      <c r="FH129" s="115"/>
      <c r="FI129" s="115"/>
      <c r="FJ129" s="115"/>
      <c r="FK129" s="115"/>
      <c r="FL129" s="115"/>
      <c r="FM129" s="115"/>
      <c r="FN129" s="115"/>
      <c r="FO129" s="115"/>
      <c r="FP129" s="115"/>
      <c r="FQ129" s="115"/>
      <c r="FR129" s="115"/>
      <c r="FS129" s="115"/>
      <c r="FT129" s="115"/>
      <c r="FU129" s="115"/>
      <c r="FV129" s="115"/>
      <c r="FW129" s="115"/>
      <c r="FX129" s="115"/>
      <c r="FY129" s="115"/>
      <c r="FZ129" s="115"/>
      <c r="GA129" s="115"/>
      <c r="GB129" s="115"/>
      <c r="GC129" s="115"/>
      <c r="GD129" s="115"/>
      <c r="GE129" s="115"/>
    </row>
    <row r="130" spans="1:187" s="87" customFormat="1" ht="21" customHeight="1" hidden="1">
      <c r="A130" s="92" t="s">
        <v>166</v>
      </c>
      <c r="B130" s="85" t="s">
        <v>167</v>
      </c>
      <c r="C130" s="80" t="s">
        <v>397</v>
      </c>
      <c r="D130" s="220">
        <f t="shared" si="1"/>
        <v>0</v>
      </c>
      <c r="E130" s="86"/>
      <c r="F130" s="86"/>
      <c r="G130" s="86"/>
      <c r="H130" s="86"/>
      <c r="I130" s="86"/>
      <c r="J130" s="86"/>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115"/>
      <c r="DQ130" s="115"/>
      <c r="DR130" s="115"/>
      <c r="DS130" s="115"/>
      <c r="DT130" s="115"/>
      <c r="DU130" s="115"/>
      <c r="DV130" s="115"/>
      <c r="DW130" s="115"/>
      <c r="DX130" s="115"/>
      <c r="DY130" s="115"/>
      <c r="DZ130" s="115"/>
      <c r="EA130" s="115"/>
      <c r="EB130" s="115"/>
      <c r="EC130" s="115"/>
      <c r="ED130" s="115"/>
      <c r="EE130" s="115"/>
      <c r="EF130" s="115"/>
      <c r="EG130" s="115"/>
      <c r="EH130" s="115"/>
      <c r="EI130" s="115"/>
      <c r="EJ130" s="115"/>
      <c r="EK130" s="115"/>
      <c r="EL130" s="115"/>
      <c r="EM130" s="115"/>
      <c r="EN130" s="115"/>
      <c r="EO130" s="115"/>
      <c r="EP130" s="115"/>
      <c r="EQ130" s="115"/>
      <c r="ER130" s="115"/>
      <c r="ES130" s="115"/>
      <c r="ET130" s="115"/>
      <c r="EU130" s="115"/>
      <c r="EV130" s="115"/>
      <c r="EW130" s="115"/>
      <c r="EX130" s="115"/>
      <c r="EY130" s="115"/>
      <c r="EZ130" s="115"/>
      <c r="FA130" s="115"/>
      <c r="FB130" s="115"/>
      <c r="FC130" s="115"/>
      <c r="FD130" s="115"/>
      <c r="FE130" s="115"/>
      <c r="FF130" s="115"/>
      <c r="FG130" s="115"/>
      <c r="FH130" s="115"/>
      <c r="FI130" s="115"/>
      <c r="FJ130" s="115"/>
      <c r="FK130" s="115"/>
      <c r="FL130" s="115"/>
      <c r="FM130" s="115"/>
      <c r="FN130" s="115"/>
      <c r="FO130" s="115"/>
      <c r="FP130" s="115"/>
      <c r="FQ130" s="115"/>
      <c r="FR130" s="115"/>
      <c r="FS130" s="115"/>
      <c r="FT130" s="115"/>
      <c r="FU130" s="115"/>
      <c r="FV130" s="115"/>
      <c r="FW130" s="115"/>
      <c r="FX130" s="115"/>
      <c r="FY130" s="115"/>
      <c r="FZ130" s="115"/>
      <c r="GA130" s="115"/>
      <c r="GB130" s="115"/>
      <c r="GC130" s="115"/>
      <c r="GD130" s="115"/>
      <c r="GE130" s="115"/>
    </row>
    <row r="131" spans="1:187" s="95" customFormat="1" ht="24.75" customHeight="1" hidden="1">
      <c r="A131" s="97" t="s">
        <v>168</v>
      </c>
      <c r="B131" s="98" t="s">
        <v>169</v>
      </c>
      <c r="C131" s="99" t="s">
        <v>35</v>
      </c>
      <c r="D131" s="220">
        <f t="shared" si="1"/>
        <v>0</v>
      </c>
      <c r="E131" s="99"/>
      <c r="F131" s="99"/>
      <c r="G131" s="99"/>
      <c r="H131" s="99"/>
      <c r="I131" s="99"/>
      <c r="J131" s="99"/>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6"/>
      <c r="FU131" s="116"/>
      <c r="FV131" s="116"/>
      <c r="FW131" s="116"/>
      <c r="FX131" s="116"/>
      <c r="FY131" s="116"/>
      <c r="FZ131" s="116"/>
      <c r="GA131" s="116"/>
      <c r="GB131" s="116"/>
      <c r="GC131" s="116"/>
      <c r="GD131" s="116"/>
      <c r="GE131" s="116"/>
    </row>
    <row r="132" spans="1:187" s="87" customFormat="1" ht="33" customHeight="1" hidden="1">
      <c r="A132" s="92" t="s">
        <v>170</v>
      </c>
      <c r="B132" s="85" t="s">
        <v>171</v>
      </c>
      <c r="C132" s="80">
        <v>610</v>
      </c>
      <c r="D132" s="220">
        <f t="shared" si="1"/>
        <v>0</v>
      </c>
      <c r="E132" s="86"/>
      <c r="F132" s="86"/>
      <c r="G132" s="86"/>
      <c r="H132" s="86"/>
      <c r="I132" s="86"/>
      <c r="J132" s="86"/>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115"/>
      <c r="DQ132" s="115"/>
      <c r="DR132" s="115"/>
      <c r="DS132" s="115"/>
      <c r="DT132" s="115"/>
      <c r="DU132" s="115"/>
      <c r="DV132" s="115"/>
      <c r="DW132" s="115"/>
      <c r="DX132" s="115"/>
      <c r="DY132" s="115"/>
      <c r="DZ132" s="115"/>
      <c r="EA132" s="115"/>
      <c r="EB132" s="115"/>
      <c r="EC132" s="115"/>
      <c r="ED132" s="115"/>
      <c r="EE132" s="115"/>
      <c r="EF132" s="115"/>
      <c r="EG132" s="115"/>
      <c r="EH132" s="115"/>
      <c r="EI132" s="115"/>
      <c r="EJ132" s="115"/>
      <c r="EK132" s="115"/>
      <c r="EL132" s="115"/>
      <c r="EM132" s="115"/>
      <c r="EN132" s="115"/>
      <c r="EO132" s="115"/>
      <c r="EP132" s="115"/>
      <c r="EQ132" s="115"/>
      <c r="ER132" s="115"/>
      <c r="ES132" s="115"/>
      <c r="ET132" s="115"/>
      <c r="EU132" s="115"/>
      <c r="EV132" s="115"/>
      <c r="EW132" s="115"/>
      <c r="EX132" s="115"/>
      <c r="EY132" s="115"/>
      <c r="EZ132" s="115"/>
      <c r="FA132" s="115"/>
      <c r="FB132" s="115"/>
      <c r="FC132" s="115"/>
      <c r="FD132" s="115"/>
      <c r="FE132" s="115"/>
      <c r="FF132" s="115"/>
      <c r="FG132" s="115"/>
      <c r="FH132" s="115"/>
      <c r="FI132" s="115"/>
      <c r="FJ132" s="115"/>
      <c r="FK132" s="115"/>
      <c r="FL132" s="115"/>
      <c r="FM132" s="115"/>
      <c r="FN132" s="115"/>
      <c r="FO132" s="115"/>
      <c r="FP132" s="115"/>
      <c r="FQ132" s="115"/>
      <c r="FR132" s="115"/>
      <c r="FS132" s="115"/>
      <c r="FT132" s="115"/>
      <c r="FU132" s="115"/>
      <c r="FV132" s="115"/>
      <c r="FW132" s="115"/>
      <c r="FX132" s="115"/>
      <c r="FY132" s="115"/>
      <c r="FZ132" s="115"/>
      <c r="GA132" s="115"/>
      <c r="GB132" s="115"/>
      <c r="GC132" s="115"/>
      <c r="GD132" s="115"/>
      <c r="GE132" s="115"/>
    </row>
    <row r="133" spans="1:187" s="1" customFormat="1" ht="37.5" customHeight="1" hidden="1">
      <c r="A133" s="73" t="s">
        <v>66</v>
      </c>
      <c r="B133" s="51"/>
      <c r="C133" s="49" t="s">
        <v>610</v>
      </c>
      <c r="D133" s="220">
        <f t="shared" si="1"/>
        <v>0</v>
      </c>
      <c r="E133" s="47"/>
      <c r="F133" s="47"/>
      <c r="G133" s="47"/>
      <c r="H133" s="47"/>
      <c r="I133" s="52"/>
      <c r="J133" s="47"/>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72"/>
      <c r="DQ133" s="72"/>
      <c r="DR133" s="72"/>
      <c r="DS133" s="72"/>
      <c r="DT133" s="72"/>
      <c r="DU133" s="72"/>
      <c r="DV133" s="72"/>
      <c r="DW133" s="72"/>
      <c r="DX133" s="72"/>
      <c r="DY133" s="72"/>
      <c r="DZ133" s="72"/>
      <c r="EA133" s="72"/>
      <c r="EB133" s="72"/>
      <c r="EC133" s="72"/>
      <c r="ED133" s="72"/>
      <c r="EE133" s="72"/>
      <c r="EF133" s="72"/>
      <c r="EG133" s="72"/>
      <c r="EH133" s="72"/>
      <c r="EI133" s="72"/>
      <c r="EJ133" s="72"/>
      <c r="EK133" s="72"/>
      <c r="EL133" s="72"/>
      <c r="EM133" s="72"/>
      <c r="EN133" s="72"/>
      <c r="EO133" s="72"/>
      <c r="EP133" s="72"/>
      <c r="EQ133" s="72"/>
      <c r="ER133" s="72"/>
      <c r="ES133" s="72"/>
      <c r="ET133" s="72"/>
      <c r="EU133" s="72"/>
      <c r="EV133" s="72"/>
      <c r="EW133" s="72"/>
      <c r="EX133" s="72"/>
      <c r="EY133" s="72"/>
      <c r="EZ133" s="72"/>
      <c r="FA133" s="72"/>
      <c r="FB133" s="72"/>
      <c r="FC133" s="72"/>
      <c r="FD133" s="72"/>
      <c r="FE133" s="72"/>
      <c r="FF133" s="72"/>
      <c r="FG133" s="72"/>
      <c r="FH133" s="72"/>
      <c r="FI133" s="72"/>
      <c r="FJ133" s="72"/>
      <c r="FK133" s="72"/>
      <c r="FL133" s="72"/>
      <c r="FM133" s="72"/>
      <c r="FN133" s="72"/>
      <c r="FO133" s="72"/>
      <c r="FP133" s="72"/>
      <c r="FQ133" s="72"/>
      <c r="FR133" s="72"/>
      <c r="FS133" s="72"/>
      <c r="FT133" s="72"/>
      <c r="FU133" s="72"/>
      <c r="FV133" s="72"/>
      <c r="FW133" s="72"/>
      <c r="FX133" s="72"/>
      <c r="FY133" s="72"/>
      <c r="FZ133" s="72"/>
      <c r="GA133" s="72"/>
      <c r="GB133" s="72"/>
      <c r="GC133" s="72"/>
      <c r="GD133" s="72"/>
      <c r="GE133" s="72"/>
    </row>
    <row r="134" spans="1:187" s="1" customFormat="1" ht="18.75" customHeight="1" hidden="1">
      <c r="A134" s="352" t="s">
        <v>589</v>
      </c>
      <c r="B134" s="51"/>
      <c r="C134" s="53" t="s">
        <v>610</v>
      </c>
      <c r="D134" s="220">
        <f t="shared" si="1"/>
        <v>0</v>
      </c>
      <c r="E134" s="47"/>
      <c r="F134" s="47"/>
      <c r="G134" s="304">
        <f>'Иные цели'!G490</f>
        <v>0</v>
      </c>
      <c r="H134" s="47"/>
      <c r="I134" s="47"/>
      <c r="J134" s="47"/>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F134" s="72"/>
      <c r="FG134" s="72"/>
      <c r="FH134" s="72"/>
      <c r="FI134" s="72"/>
      <c r="FJ134" s="72"/>
      <c r="FK134" s="72"/>
      <c r="FL134" s="72"/>
      <c r="FM134" s="72"/>
      <c r="FN134" s="72"/>
      <c r="FO134" s="72"/>
      <c r="FP134" s="72"/>
      <c r="FQ134" s="72"/>
      <c r="FR134" s="72"/>
      <c r="FS134" s="72"/>
      <c r="FT134" s="72"/>
      <c r="FU134" s="72"/>
      <c r="FV134" s="72"/>
      <c r="FW134" s="72"/>
      <c r="FX134" s="72"/>
      <c r="FY134" s="72"/>
      <c r="FZ134" s="72"/>
      <c r="GA134" s="72"/>
      <c r="GB134" s="72"/>
      <c r="GC134" s="72"/>
      <c r="GD134" s="72"/>
      <c r="GE134" s="72"/>
    </row>
    <row r="135" spans="1:187" s="1" customFormat="1" ht="51.75" customHeight="1">
      <c r="A135" s="73" t="s">
        <v>747</v>
      </c>
      <c r="B135" s="51"/>
      <c r="C135" s="49" t="s">
        <v>394</v>
      </c>
      <c r="D135" s="220">
        <f>SUM(E135:H135)</f>
        <v>25000</v>
      </c>
      <c r="E135" s="47">
        <f>E123</f>
        <v>0</v>
      </c>
      <c r="F135" s="47">
        <f>F123</f>
        <v>25000</v>
      </c>
      <c r="G135" s="47"/>
      <c r="H135" s="47">
        <f>H123</f>
        <v>0</v>
      </c>
      <c r="I135" s="52"/>
      <c r="J135" s="47"/>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2"/>
      <c r="DH135" s="72"/>
      <c r="DI135" s="72"/>
      <c r="DJ135" s="72"/>
      <c r="DK135" s="72"/>
      <c r="DL135" s="72"/>
      <c r="DM135" s="72"/>
      <c r="DN135" s="72"/>
      <c r="DO135" s="72"/>
      <c r="DP135" s="72"/>
      <c r="DQ135" s="72"/>
      <c r="DR135" s="72"/>
      <c r="DS135" s="72"/>
      <c r="DT135" s="72"/>
      <c r="DU135" s="72"/>
      <c r="DV135" s="72"/>
      <c r="DW135" s="72"/>
      <c r="DX135" s="72"/>
      <c r="DY135" s="72"/>
      <c r="DZ135" s="72"/>
      <c r="EA135" s="72"/>
      <c r="EB135" s="72"/>
      <c r="EC135" s="72"/>
      <c r="ED135" s="72"/>
      <c r="EE135" s="72"/>
      <c r="EF135" s="72"/>
      <c r="EG135" s="72"/>
      <c r="EH135" s="72"/>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c r="FF135" s="72"/>
      <c r="FG135" s="72"/>
      <c r="FH135" s="72"/>
      <c r="FI135" s="72"/>
      <c r="FJ135" s="72"/>
      <c r="FK135" s="72"/>
      <c r="FL135" s="72"/>
      <c r="FM135" s="72"/>
      <c r="FN135" s="72"/>
      <c r="FO135" s="72"/>
      <c r="FP135" s="72"/>
      <c r="FQ135" s="72"/>
      <c r="FR135" s="72"/>
      <c r="FS135" s="72"/>
      <c r="FT135" s="72"/>
      <c r="FU135" s="72"/>
      <c r="FV135" s="72"/>
      <c r="FW135" s="72"/>
      <c r="FX135" s="72"/>
      <c r="FY135" s="72"/>
      <c r="FZ135" s="72"/>
      <c r="GA135" s="72"/>
      <c r="GB135" s="72"/>
      <c r="GC135" s="72"/>
      <c r="GD135" s="72"/>
      <c r="GE135" s="72"/>
    </row>
    <row r="136" spans="1:187" s="429" customFormat="1" ht="20.25" customHeight="1">
      <c r="A136" s="352" t="s">
        <v>705</v>
      </c>
      <c r="B136" s="48"/>
      <c r="C136" s="53" t="s">
        <v>610</v>
      </c>
      <c r="D136" s="434">
        <f>SUM(E136:H136)</f>
        <v>0</v>
      </c>
      <c r="E136" s="47"/>
      <c r="F136" s="47"/>
      <c r="G136" s="47">
        <f>'Иные цели'!G524</f>
        <v>0</v>
      </c>
      <c r="H136" s="47"/>
      <c r="I136" s="47"/>
      <c r="J136" s="47"/>
      <c r="K136" s="430"/>
      <c r="L136" s="430"/>
      <c r="M136" s="430"/>
      <c r="N136" s="430"/>
      <c r="O136" s="430"/>
      <c r="P136" s="430"/>
      <c r="Q136" s="430"/>
      <c r="R136" s="430"/>
      <c r="S136" s="430"/>
      <c r="T136" s="430"/>
      <c r="U136" s="430"/>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0"/>
      <c r="AY136" s="430"/>
      <c r="AZ136" s="430"/>
      <c r="BA136" s="430"/>
      <c r="BB136" s="430"/>
      <c r="BC136" s="430"/>
      <c r="BD136" s="430"/>
      <c r="BE136" s="430"/>
      <c r="BF136" s="430"/>
      <c r="BG136" s="430"/>
      <c r="BH136" s="430"/>
      <c r="BI136" s="430"/>
      <c r="BJ136" s="430"/>
      <c r="BK136" s="430"/>
      <c r="BL136" s="430"/>
      <c r="BM136" s="430"/>
      <c r="BN136" s="430"/>
      <c r="BO136" s="430"/>
      <c r="BP136" s="430"/>
      <c r="BQ136" s="430"/>
      <c r="BR136" s="430"/>
      <c r="BS136" s="430"/>
      <c r="BT136" s="430"/>
      <c r="BU136" s="430"/>
      <c r="BV136" s="430"/>
      <c r="BW136" s="430"/>
      <c r="BX136" s="430"/>
      <c r="BY136" s="430"/>
      <c r="BZ136" s="430"/>
      <c r="CA136" s="430"/>
      <c r="CB136" s="430"/>
      <c r="CC136" s="430"/>
      <c r="CD136" s="430"/>
      <c r="CE136" s="430"/>
      <c r="CF136" s="430"/>
      <c r="CG136" s="430"/>
      <c r="CH136" s="430"/>
      <c r="CI136" s="430"/>
      <c r="CJ136" s="430"/>
      <c r="CK136" s="430"/>
      <c r="CL136" s="430"/>
      <c r="CM136" s="430"/>
      <c r="CN136" s="430"/>
      <c r="CO136" s="430"/>
      <c r="CP136" s="430"/>
      <c r="CQ136" s="430"/>
      <c r="CR136" s="430"/>
      <c r="CS136" s="430"/>
      <c r="CT136" s="430"/>
      <c r="CU136" s="430"/>
      <c r="CV136" s="430"/>
      <c r="CW136" s="430"/>
      <c r="CX136" s="430"/>
      <c r="CY136" s="430"/>
      <c r="CZ136" s="430"/>
      <c r="DA136" s="430"/>
      <c r="DB136" s="430"/>
      <c r="DC136" s="430"/>
      <c r="DD136" s="430"/>
      <c r="DE136" s="430"/>
      <c r="DF136" s="430"/>
      <c r="DG136" s="430"/>
      <c r="DH136" s="430"/>
      <c r="DI136" s="430"/>
      <c r="DJ136" s="430"/>
      <c r="DK136" s="430"/>
      <c r="DL136" s="430"/>
      <c r="DM136" s="430"/>
      <c r="DN136" s="430"/>
      <c r="DO136" s="430"/>
      <c r="DP136" s="430"/>
      <c r="DQ136" s="430"/>
      <c r="DR136" s="430"/>
      <c r="DS136" s="430"/>
      <c r="DT136" s="430"/>
      <c r="DU136" s="430"/>
      <c r="DV136" s="430"/>
      <c r="DW136" s="430"/>
      <c r="DX136" s="430"/>
      <c r="DY136" s="430"/>
      <c r="DZ136" s="430"/>
      <c r="EA136" s="430"/>
      <c r="EB136" s="430"/>
      <c r="EC136" s="430"/>
      <c r="ED136" s="430"/>
      <c r="EE136" s="430"/>
      <c r="EF136" s="430"/>
      <c r="EG136" s="430"/>
      <c r="EH136" s="430"/>
      <c r="EI136" s="430"/>
      <c r="EJ136" s="430"/>
      <c r="EK136" s="430"/>
      <c r="EL136" s="430"/>
      <c r="EM136" s="430"/>
      <c r="EN136" s="430"/>
      <c r="EO136" s="430"/>
      <c r="EP136" s="430"/>
      <c r="EQ136" s="430"/>
      <c r="ER136" s="430"/>
      <c r="ES136" s="430"/>
      <c r="ET136" s="430"/>
      <c r="EU136" s="430"/>
      <c r="EV136" s="430"/>
      <c r="EW136" s="430"/>
      <c r="EX136" s="430"/>
      <c r="EY136" s="430"/>
      <c r="EZ136" s="430"/>
      <c r="FA136" s="430"/>
      <c r="FB136" s="430"/>
      <c r="FC136" s="430"/>
      <c r="FD136" s="430"/>
      <c r="FE136" s="430"/>
      <c r="FF136" s="430"/>
      <c r="FG136" s="430"/>
      <c r="FH136" s="430"/>
      <c r="FI136" s="430"/>
      <c r="FJ136" s="430"/>
      <c r="FK136" s="430"/>
      <c r="FL136" s="430"/>
      <c r="FM136" s="430"/>
      <c r="FN136" s="430"/>
      <c r="FO136" s="430"/>
      <c r="FP136" s="430"/>
      <c r="FQ136" s="430"/>
      <c r="FR136" s="430"/>
      <c r="FS136" s="430"/>
      <c r="FT136" s="430"/>
      <c r="FU136" s="430"/>
      <c r="FV136" s="430"/>
      <c r="FW136" s="430"/>
      <c r="FX136" s="430"/>
      <c r="FY136" s="430"/>
      <c r="FZ136" s="430"/>
      <c r="GA136" s="430"/>
      <c r="GB136" s="430"/>
      <c r="GC136" s="430"/>
      <c r="GD136" s="430"/>
      <c r="GE136" s="430"/>
    </row>
    <row r="137" spans="1:187" s="419" customFormat="1" ht="37.5" customHeight="1">
      <c r="A137" s="412" t="s">
        <v>648</v>
      </c>
      <c r="B137" s="413" t="s">
        <v>647</v>
      </c>
      <c r="C137" s="414" t="s">
        <v>552</v>
      </c>
      <c r="D137" s="220">
        <f t="shared" si="1"/>
        <v>1773977.6900000002</v>
      </c>
      <c r="E137" s="415">
        <f>'Местный бюджет'!G82+'Местный бюджет'!G84+'Местный бюджет'!G83+'Местный бюджет'!G85+'Местный бюджет'!G87</f>
        <v>1479293.9200000002</v>
      </c>
      <c r="F137" s="415"/>
      <c r="G137" s="416"/>
      <c r="H137" s="415">
        <f>Внебюджет!G156</f>
        <v>294683.77</v>
      </c>
      <c r="I137" s="417"/>
      <c r="J137" s="417"/>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418"/>
      <c r="AW137" s="418"/>
      <c r="AX137" s="418"/>
      <c r="AY137" s="418"/>
      <c r="AZ137" s="418"/>
      <c r="BA137" s="418"/>
      <c r="BB137" s="418"/>
      <c r="BC137" s="418"/>
      <c r="BD137" s="418"/>
      <c r="BE137" s="418"/>
      <c r="BF137" s="418"/>
      <c r="BG137" s="418"/>
      <c r="BH137" s="418"/>
      <c r="BI137" s="418"/>
      <c r="BJ137" s="418"/>
      <c r="BK137" s="418"/>
      <c r="BL137" s="418"/>
      <c r="BM137" s="418"/>
      <c r="BN137" s="418"/>
      <c r="BO137" s="418"/>
      <c r="BP137" s="418"/>
      <c r="BQ137" s="418"/>
      <c r="BR137" s="418"/>
      <c r="BS137" s="418"/>
      <c r="BT137" s="418"/>
      <c r="BU137" s="418"/>
      <c r="BV137" s="418"/>
      <c r="BW137" s="418"/>
      <c r="BX137" s="418"/>
      <c r="BY137" s="418"/>
      <c r="BZ137" s="418"/>
      <c r="CA137" s="418"/>
      <c r="CB137" s="418"/>
      <c r="CC137" s="418"/>
      <c r="CD137" s="418"/>
      <c r="CE137" s="418"/>
      <c r="CF137" s="418"/>
      <c r="CG137" s="418"/>
      <c r="CH137" s="418"/>
      <c r="CI137" s="418"/>
      <c r="CJ137" s="418"/>
      <c r="CK137" s="418"/>
      <c r="CL137" s="418"/>
      <c r="CM137" s="418"/>
      <c r="CN137" s="418"/>
      <c r="CO137" s="418"/>
      <c r="CP137" s="418"/>
      <c r="CQ137" s="418"/>
      <c r="CR137" s="418"/>
      <c r="CS137" s="418"/>
      <c r="CT137" s="418"/>
      <c r="CU137" s="418"/>
      <c r="CV137" s="418"/>
      <c r="CW137" s="418"/>
      <c r="CX137" s="418"/>
      <c r="CY137" s="418"/>
      <c r="CZ137" s="418"/>
      <c r="DA137" s="418"/>
      <c r="DB137" s="418"/>
      <c r="DC137" s="418"/>
      <c r="DD137" s="418"/>
      <c r="DE137" s="418"/>
      <c r="DF137" s="418"/>
      <c r="DG137" s="418"/>
      <c r="DH137" s="418"/>
      <c r="DI137" s="418"/>
      <c r="DJ137" s="418"/>
      <c r="DK137" s="418"/>
      <c r="DL137" s="418"/>
      <c r="DM137" s="418"/>
      <c r="DN137" s="418"/>
      <c r="DO137" s="418"/>
      <c r="DP137" s="418"/>
      <c r="DQ137" s="418"/>
      <c r="DR137" s="418"/>
      <c r="DS137" s="418"/>
      <c r="DT137" s="418"/>
      <c r="DU137" s="418"/>
      <c r="DV137" s="418"/>
      <c r="DW137" s="418"/>
      <c r="DX137" s="418"/>
      <c r="DY137" s="418"/>
      <c r="DZ137" s="418"/>
      <c r="EA137" s="418"/>
      <c r="EB137" s="418"/>
      <c r="EC137" s="418"/>
      <c r="ED137" s="418"/>
      <c r="EE137" s="418"/>
      <c r="EF137" s="418"/>
      <c r="EG137" s="418"/>
      <c r="EH137" s="418"/>
      <c r="EI137" s="418"/>
      <c r="EJ137" s="418"/>
      <c r="EK137" s="418"/>
      <c r="EL137" s="418"/>
      <c r="EM137" s="418"/>
      <c r="EN137" s="418"/>
      <c r="EO137" s="418"/>
      <c r="EP137" s="418"/>
      <c r="EQ137" s="418"/>
      <c r="ER137" s="418"/>
      <c r="ES137" s="418"/>
      <c r="ET137" s="418"/>
      <c r="EU137" s="418"/>
      <c r="EV137" s="418"/>
      <c r="EW137" s="418"/>
      <c r="EX137" s="418"/>
      <c r="EY137" s="418"/>
      <c r="EZ137" s="418"/>
      <c r="FA137" s="418"/>
      <c r="FB137" s="418"/>
      <c r="FC137" s="418"/>
      <c r="FD137" s="418"/>
      <c r="FE137" s="418"/>
      <c r="FF137" s="418"/>
      <c r="FG137" s="418"/>
      <c r="FH137" s="418"/>
      <c r="FI137" s="418"/>
      <c r="FJ137" s="418"/>
      <c r="FK137" s="418"/>
      <c r="FL137" s="418"/>
      <c r="FM137" s="418"/>
      <c r="FN137" s="418"/>
      <c r="FO137" s="418"/>
      <c r="FP137" s="418"/>
      <c r="FQ137" s="418"/>
      <c r="FR137" s="418"/>
      <c r="FS137" s="418"/>
      <c r="FT137" s="418"/>
      <c r="FU137" s="418"/>
      <c r="FV137" s="418"/>
      <c r="FW137" s="418"/>
      <c r="FX137" s="418"/>
      <c r="FY137" s="418"/>
      <c r="FZ137" s="418"/>
      <c r="GA137" s="418"/>
      <c r="GB137" s="418"/>
      <c r="GC137" s="418"/>
      <c r="GD137" s="418"/>
      <c r="GE137" s="418"/>
    </row>
    <row r="138" spans="1:10" s="115" customFormat="1" ht="15">
      <c r="A138" s="201"/>
      <c r="B138" s="202"/>
      <c r="C138" s="203"/>
      <c r="D138" s="204"/>
      <c r="E138" s="205"/>
      <c r="F138" s="205"/>
      <c r="G138" s="205"/>
      <c r="H138" s="205"/>
      <c r="I138" s="205"/>
      <c r="J138" s="205"/>
    </row>
    <row r="139" spans="1:10" s="115" customFormat="1" ht="18">
      <c r="A139" s="523" t="s">
        <v>433</v>
      </c>
      <c r="B139" s="523"/>
      <c r="C139" s="523"/>
      <c r="D139" s="523"/>
      <c r="E139" s="523"/>
      <c r="F139" s="523"/>
      <c r="G139" s="523"/>
      <c r="H139" s="523"/>
      <c r="I139" s="523"/>
      <c r="J139" s="523"/>
    </row>
    <row r="140" spans="1:10" s="115" customFormat="1" ht="18">
      <c r="A140" s="523" t="s">
        <v>606</v>
      </c>
      <c r="B140" s="523"/>
      <c r="C140" s="523"/>
      <c r="D140" s="523"/>
      <c r="E140" s="523"/>
      <c r="F140" s="523"/>
      <c r="G140" s="523"/>
      <c r="H140" s="523"/>
      <c r="I140" s="523"/>
      <c r="J140" s="523"/>
    </row>
    <row r="141" spans="1:10" s="115" customFormat="1" ht="15">
      <c r="A141" s="201"/>
      <c r="B141" s="202"/>
      <c r="C141" s="203"/>
      <c r="D141" s="204"/>
      <c r="E141" s="205"/>
      <c r="F141" s="205"/>
      <c r="G141" s="205"/>
      <c r="H141" s="261" t="str">
        <f>'Пр.1Титульный лист'!L15</f>
        <v>22.12.2023</v>
      </c>
      <c r="I141" s="205"/>
      <c r="J141" s="205"/>
    </row>
    <row r="142" spans="1:10" s="115" customFormat="1" ht="17.25" customHeight="1">
      <c r="A142" s="524" t="s">
        <v>0</v>
      </c>
      <c r="B142" s="527" t="s">
        <v>7</v>
      </c>
      <c r="C142" s="524" t="s">
        <v>9</v>
      </c>
      <c r="D142" s="541" t="s">
        <v>8</v>
      </c>
      <c r="E142" s="541"/>
      <c r="F142" s="541"/>
      <c r="G142" s="541"/>
      <c r="H142" s="541"/>
      <c r="I142" s="541"/>
      <c r="J142" s="541"/>
    </row>
    <row r="143" spans="1:10" s="115" customFormat="1" ht="17.25" customHeight="1">
      <c r="A143" s="525"/>
      <c r="B143" s="528"/>
      <c r="C143" s="525"/>
      <c r="D143" s="532" t="s">
        <v>548</v>
      </c>
      <c r="E143" s="532"/>
      <c r="F143" s="532"/>
      <c r="G143" s="532"/>
      <c r="H143" s="532"/>
      <c r="I143" s="532"/>
      <c r="J143" s="532"/>
    </row>
    <row r="144" spans="1:187" s="12" customFormat="1" ht="0.75" customHeight="1">
      <c r="A144" s="525"/>
      <c r="B144" s="528"/>
      <c r="C144" s="525"/>
      <c r="D144" s="532"/>
      <c r="E144" s="532"/>
      <c r="F144" s="532"/>
      <c r="G144" s="532"/>
      <c r="H144" s="532"/>
      <c r="I144" s="532"/>
      <c r="J144" s="532"/>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c r="BY144" s="115"/>
      <c r="BZ144" s="115"/>
      <c r="CA144" s="115"/>
      <c r="CB144" s="115"/>
      <c r="CC144" s="115"/>
      <c r="CD144" s="115"/>
      <c r="CE144" s="115"/>
      <c r="CF144" s="115"/>
      <c r="CG144" s="115"/>
      <c r="CH144" s="115"/>
      <c r="CI144" s="115"/>
      <c r="CJ144" s="115"/>
      <c r="CK144" s="115"/>
      <c r="CL144" s="115"/>
      <c r="CM144" s="115"/>
      <c r="CN144" s="115"/>
      <c r="CO144" s="115"/>
      <c r="CP144" s="115"/>
      <c r="CQ144" s="115"/>
      <c r="CR144" s="115"/>
      <c r="CS144" s="115"/>
      <c r="CT144" s="115"/>
      <c r="CU144" s="115"/>
      <c r="CV144" s="115"/>
      <c r="CW144" s="115"/>
      <c r="CX144" s="115"/>
      <c r="CY144" s="115"/>
      <c r="CZ144" s="115"/>
      <c r="DA144" s="115"/>
      <c r="DB144" s="115"/>
      <c r="DC144" s="115"/>
      <c r="DD144" s="115"/>
      <c r="DE144" s="115"/>
      <c r="DF144" s="115"/>
      <c r="DG144" s="115"/>
      <c r="DH144" s="115"/>
      <c r="DI144" s="115"/>
      <c r="DJ144" s="115"/>
      <c r="DK144" s="115"/>
      <c r="DL144" s="115"/>
      <c r="DM144" s="115"/>
      <c r="DN144" s="115"/>
      <c r="DO144" s="115"/>
      <c r="DP144" s="115"/>
      <c r="DQ144" s="115"/>
      <c r="DR144" s="115"/>
      <c r="DS144" s="115"/>
      <c r="DT144" s="115"/>
      <c r="DU144" s="115"/>
      <c r="DV144" s="115"/>
      <c r="DW144" s="115"/>
      <c r="DX144" s="115"/>
      <c r="DY144" s="115"/>
      <c r="DZ144" s="115"/>
      <c r="EA144" s="115"/>
      <c r="EB144" s="115"/>
      <c r="EC144" s="115"/>
      <c r="ED144" s="115"/>
      <c r="EE144" s="115"/>
      <c r="EF144" s="115"/>
      <c r="EG144" s="115"/>
      <c r="EH144" s="115"/>
      <c r="EI144" s="115"/>
      <c r="EJ144" s="115"/>
      <c r="EK144" s="115"/>
      <c r="EL144" s="115"/>
      <c r="EM144" s="115"/>
      <c r="EN144" s="115"/>
      <c r="EO144" s="115"/>
      <c r="EP144" s="115"/>
      <c r="EQ144" s="115"/>
      <c r="ER144" s="115"/>
      <c r="ES144" s="115"/>
      <c r="ET144" s="115"/>
      <c r="EU144" s="115"/>
      <c r="EV144" s="115"/>
      <c r="EW144" s="115"/>
      <c r="EX144" s="115"/>
      <c r="EY144" s="115"/>
      <c r="EZ144" s="115"/>
      <c r="FA144" s="115"/>
      <c r="FB144" s="115"/>
      <c r="FC144" s="115"/>
      <c r="FD144" s="115"/>
      <c r="FE144" s="115"/>
      <c r="FF144" s="115"/>
      <c r="FG144" s="115"/>
      <c r="FH144" s="115"/>
      <c r="FI144" s="115"/>
      <c r="FJ144" s="115"/>
      <c r="FK144" s="115"/>
      <c r="FL144" s="115"/>
      <c r="FM144" s="115"/>
      <c r="FN144" s="115"/>
      <c r="FO144" s="115"/>
      <c r="FP144" s="115"/>
      <c r="FQ144" s="115"/>
      <c r="FR144" s="115"/>
      <c r="FS144" s="115"/>
      <c r="FT144" s="115"/>
      <c r="FU144" s="115"/>
      <c r="FV144" s="115"/>
      <c r="FW144" s="115"/>
      <c r="FX144" s="115"/>
      <c r="FY144" s="115"/>
      <c r="FZ144" s="115"/>
      <c r="GA144" s="115"/>
      <c r="GB144" s="115"/>
      <c r="GC144" s="115"/>
      <c r="GD144" s="115"/>
      <c r="GE144" s="115"/>
    </row>
    <row r="145" spans="1:187" s="12" customFormat="1" ht="18.75" customHeight="1">
      <c r="A145" s="525"/>
      <c r="B145" s="528"/>
      <c r="C145" s="525"/>
      <c r="D145" s="536" t="s">
        <v>1</v>
      </c>
      <c r="E145" s="533" t="s">
        <v>6</v>
      </c>
      <c r="F145" s="534"/>
      <c r="G145" s="534"/>
      <c r="H145" s="534"/>
      <c r="I145" s="534"/>
      <c r="J145" s="53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115"/>
      <c r="BW145" s="115"/>
      <c r="BX145" s="115"/>
      <c r="BY145" s="115"/>
      <c r="BZ145" s="115"/>
      <c r="CA145" s="115"/>
      <c r="CB145" s="115"/>
      <c r="CC145" s="115"/>
      <c r="CD145" s="115"/>
      <c r="CE145" s="115"/>
      <c r="CF145" s="115"/>
      <c r="CG145" s="115"/>
      <c r="CH145" s="115"/>
      <c r="CI145" s="115"/>
      <c r="CJ145" s="115"/>
      <c r="CK145" s="115"/>
      <c r="CL145" s="115"/>
      <c r="CM145" s="115"/>
      <c r="CN145" s="115"/>
      <c r="CO145" s="115"/>
      <c r="CP145" s="115"/>
      <c r="CQ145" s="115"/>
      <c r="CR145" s="115"/>
      <c r="CS145" s="115"/>
      <c r="CT145" s="115"/>
      <c r="CU145" s="115"/>
      <c r="CV145" s="115"/>
      <c r="CW145" s="115"/>
      <c r="CX145" s="115"/>
      <c r="CY145" s="115"/>
      <c r="CZ145" s="115"/>
      <c r="DA145" s="115"/>
      <c r="DB145" s="115"/>
      <c r="DC145" s="115"/>
      <c r="DD145" s="115"/>
      <c r="DE145" s="115"/>
      <c r="DF145" s="115"/>
      <c r="DG145" s="115"/>
      <c r="DH145" s="115"/>
      <c r="DI145" s="115"/>
      <c r="DJ145" s="115"/>
      <c r="DK145" s="115"/>
      <c r="DL145" s="115"/>
      <c r="DM145" s="115"/>
      <c r="DN145" s="115"/>
      <c r="DO145" s="115"/>
      <c r="DP145" s="115"/>
      <c r="DQ145" s="115"/>
      <c r="DR145" s="115"/>
      <c r="DS145" s="115"/>
      <c r="DT145" s="115"/>
      <c r="DU145" s="115"/>
      <c r="DV145" s="115"/>
      <c r="DW145" s="115"/>
      <c r="DX145" s="115"/>
      <c r="DY145" s="115"/>
      <c r="DZ145" s="115"/>
      <c r="EA145" s="115"/>
      <c r="EB145" s="115"/>
      <c r="EC145" s="115"/>
      <c r="ED145" s="115"/>
      <c r="EE145" s="115"/>
      <c r="EF145" s="115"/>
      <c r="EG145" s="115"/>
      <c r="EH145" s="115"/>
      <c r="EI145" s="115"/>
      <c r="EJ145" s="115"/>
      <c r="EK145" s="115"/>
      <c r="EL145" s="115"/>
      <c r="EM145" s="115"/>
      <c r="EN145" s="115"/>
      <c r="EO145" s="115"/>
      <c r="EP145" s="115"/>
      <c r="EQ145" s="115"/>
      <c r="ER145" s="115"/>
      <c r="ES145" s="115"/>
      <c r="ET145" s="115"/>
      <c r="EU145" s="115"/>
      <c r="EV145" s="115"/>
      <c r="EW145" s="115"/>
      <c r="EX145" s="115"/>
      <c r="EY145" s="115"/>
      <c r="EZ145" s="115"/>
      <c r="FA145" s="115"/>
      <c r="FB145" s="115"/>
      <c r="FC145" s="115"/>
      <c r="FD145" s="115"/>
      <c r="FE145" s="115"/>
      <c r="FF145" s="115"/>
      <c r="FG145" s="115"/>
      <c r="FH145" s="115"/>
      <c r="FI145" s="115"/>
      <c r="FJ145" s="115"/>
      <c r="FK145" s="115"/>
      <c r="FL145" s="115"/>
      <c r="FM145" s="115"/>
      <c r="FN145" s="115"/>
      <c r="FO145" s="115"/>
      <c r="FP145" s="115"/>
      <c r="FQ145" s="115"/>
      <c r="FR145" s="115"/>
      <c r="FS145" s="115"/>
      <c r="FT145" s="115"/>
      <c r="FU145" s="115"/>
      <c r="FV145" s="115"/>
      <c r="FW145" s="115"/>
      <c r="FX145" s="115"/>
      <c r="FY145" s="115"/>
      <c r="FZ145" s="115"/>
      <c r="GA145" s="115"/>
      <c r="GB145" s="115"/>
      <c r="GC145" s="115"/>
      <c r="GD145" s="115"/>
      <c r="GE145" s="115"/>
    </row>
    <row r="146" spans="1:187" s="199" customFormat="1" ht="66.75" customHeight="1">
      <c r="A146" s="525"/>
      <c r="B146" s="528"/>
      <c r="C146" s="525"/>
      <c r="D146" s="537"/>
      <c r="E146" s="530" t="s">
        <v>85</v>
      </c>
      <c r="F146" s="530"/>
      <c r="G146" s="539" t="s">
        <v>87</v>
      </c>
      <c r="H146" s="524" t="s">
        <v>116</v>
      </c>
      <c r="I146" s="524" t="s">
        <v>86</v>
      </c>
      <c r="J146" s="530" t="s">
        <v>224</v>
      </c>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c r="BT146" s="200"/>
      <c r="BU146" s="200"/>
      <c r="BV146" s="200"/>
      <c r="BW146" s="200"/>
      <c r="BX146" s="200"/>
      <c r="BY146" s="200"/>
      <c r="BZ146" s="200"/>
      <c r="CA146" s="200"/>
      <c r="CB146" s="200"/>
      <c r="CC146" s="200"/>
      <c r="CD146" s="200"/>
      <c r="CE146" s="200"/>
      <c r="CF146" s="200"/>
      <c r="CG146" s="200"/>
      <c r="CH146" s="200"/>
      <c r="CI146" s="200"/>
      <c r="CJ146" s="200"/>
      <c r="CK146" s="200"/>
      <c r="CL146" s="200"/>
      <c r="CM146" s="200"/>
      <c r="CN146" s="200"/>
      <c r="CO146" s="200"/>
      <c r="CP146" s="200"/>
      <c r="CQ146" s="200"/>
      <c r="CR146" s="200"/>
      <c r="CS146" s="200"/>
      <c r="CT146" s="200"/>
      <c r="CU146" s="200"/>
      <c r="CV146" s="200"/>
      <c r="CW146" s="200"/>
      <c r="CX146" s="200"/>
      <c r="CY146" s="200"/>
      <c r="CZ146" s="200"/>
      <c r="DA146" s="200"/>
      <c r="DB146" s="200"/>
      <c r="DC146" s="200"/>
      <c r="DD146" s="200"/>
      <c r="DE146" s="200"/>
      <c r="DF146" s="200"/>
      <c r="DG146" s="200"/>
      <c r="DH146" s="200"/>
      <c r="DI146" s="200"/>
      <c r="DJ146" s="200"/>
      <c r="DK146" s="200"/>
      <c r="DL146" s="200"/>
      <c r="DM146" s="200"/>
      <c r="DN146" s="200"/>
      <c r="DO146" s="200"/>
      <c r="DP146" s="200"/>
      <c r="DQ146" s="200"/>
      <c r="DR146" s="200"/>
      <c r="DS146" s="200"/>
      <c r="DT146" s="200"/>
      <c r="DU146" s="200"/>
      <c r="DV146" s="200"/>
      <c r="DW146" s="200"/>
      <c r="DX146" s="200"/>
      <c r="DY146" s="200"/>
      <c r="DZ146" s="200"/>
      <c r="EA146" s="200"/>
      <c r="EB146" s="200"/>
      <c r="EC146" s="200"/>
      <c r="ED146" s="200"/>
      <c r="EE146" s="200"/>
      <c r="EF146" s="200"/>
      <c r="EG146" s="200"/>
      <c r="EH146" s="200"/>
      <c r="EI146" s="200"/>
      <c r="EJ146" s="200"/>
      <c r="EK146" s="200"/>
      <c r="EL146" s="200"/>
      <c r="EM146" s="200"/>
      <c r="EN146" s="200"/>
      <c r="EO146" s="200"/>
      <c r="EP146" s="200"/>
      <c r="EQ146" s="200"/>
      <c r="ER146" s="200"/>
      <c r="ES146" s="200"/>
      <c r="ET146" s="200"/>
      <c r="EU146" s="200"/>
      <c r="EV146" s="200"/>
      <c r="EW146" s="200"/>
      <c r="EX146" s="200"/>
      <c r="EY146" s="200"/>
      <c r="EZ146" s="200"/>
      <c r="FA146" s="200"/>
      <c r="FB146" s="200"/>
      <c r="FC146" s="200"/>
      <c r="FD146" s="200"/>
      <c r="FE146" s="200"/>
      <c r="FF146" s="200"/>
      <c r="FG146" s="200"/>
      <c r="FH146" s="200"/>
      <c r="FI146" s="200"/>
      <c r="FJ146" s="200"/>
      <c r="FK146" s="200"/>
      <c r="FL146" s="200"/>
      <c r="FM146" s="200"/>
      <c r="FN146" s="200"/>
      <c r="FO146" s="200"/>
      <c r="FP146" s="200"/>
      <c r="FQ146" s="200"/>
      <c r="FR146" s="200"/>
      <c r="FS146" s="200"/>
      <c r="FT146" s="200"/>
      <c r="FU146" s="200"/>
      <c r="FV146" s="200"/>
      <c r="FW146" s="200"/>
      <c r="FX146" s="200"/>
      <c r="FY146" s="200"/>
      <c r="FZ146" s="200"/>
      <c r="GA146" s="200"/>
      <c r="GB146" s="200"/>
      <c r="GC146" s="200"/>
      <c r="GD146" s="200"/>
      <c r="GE146" s="200"/>
    </row>
    <row r="147" spans="1:187" s="199" customFormat="1" ht="63" customHeight="1">
      <c r="A147" s="526"/>
      <c r="B147" s="529"/>
      <c r="C147" s="526"/>
      <c r="D147" s="538"/>
      <c r="E147" s="28" t="s">
        <v>81</v>
      </c>
      <c r="F147" s="58" t="s">
        <v>82</v>
      </c>
      <c r="G147" s="540"/>
      <c r="H147" s="526"/>
      <c r="I147" s="526"/>
      <c r="J147" s="531"/>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c r="AZ147" s="200"/>
      <c r="BA147" s="200"/>
      <c r="BB147" s="200"/>
      <c r="BC147" s="200"/>
      <c r="BD147" s="200"/>
      <c r="BE147" s="200"/>
      <c r="BF147" s="200"/>
      <c r="BG147" s="200"/>
      <c r="BH147" s="200"/>
      <c r="BI147" s="200"/>
      <c r="BJ147" s="200"/>
      <c r="BK147" s="200"/>
      <c r="BL147" s="200"/>
      <c r="BM147" s="200"/>
      <c r="BN147" s="200"/>
      <c r="BO147" s="200"/>
      <c r="BP147" s="200"/>
      <c r="BQ147" s="200"/>
      <c r="BR147" s="200"/>
      <c r="BS147" s="200"/>
      <c r="BT147" s="200"/>
      <c r="BU147" s="200"/>
      <c r="BV147" s="200"/>
      <c r="BW147" s="200"/>
      <c r="BX147" s="200"/>
      <c r="BY147" s="200"/>
      <c r="BZ147" s="200"/>
      <c r="CA147" s="200"/>
      <c r="CB147" s="200"/>
      <c r="CC147" s="200"/>
      <c r="CD147" s="200"/>
      <c r="CE147" s="200"/>
      <c r="CF147" s="200"/>
      <c r="CG147" s="200"/>
      <c r="CH147" s="200"/>
      <c r="CI147" s="200"/>
      <c r="CJ147" s="200"/>
      <c r="CK147" s="200"/>
      <c r="CL147" s="200"/>
      <c r="CM147" s="200"/>
      <c r="CN147" s="200"/>
      <c r="CO147" s="200"/>
      <c r="CP147" s="200"/>
      <c r="CQ147" s="200"/>
      <c r="CR147" s="200"/>
      <c r="CS147" s="200"/>
      <c r="CT147" s="200"/>
      <c r="CU147" s="200"/>
      <c r="CV147" s="200"/>
      <c r="CW147" s="200"/>
      <c r="CX147" s="200"/>
      <c r="CY147" s="200"/>
      <c r="CZ147" s="200"/>
      <c r="DA147" s="200"/>
      <c r="DB147" s="200"/>
      <c r="DC147" s="200"/>
      <c r="DD147" s="200"/>
      <c r="DE147" s="200"/>
      <c r="DF147" s="200"/>
      <c r="DG147" s="200"/>
      <c r="DH147" s="200"/>
      <c r="DI147" s="200"/>
      <c r="DJ147" s="200"/>
      <c r="DK147" s="200"/>
      <c r="DL147" s="200"/>
      <c r="DM147" s="200"/>
      <c r="DN147" s="200"/>
      <c r="DO147" s="200"/>
      <c r="DP147" s="200"/>
      <c r="DQ147" s="200"/>
      <c r="DR147" s="200"/>
      <c r="DS147" s="200"/>
      <c r="DT147" s="200"/>
      <c r="DU147" s="200"/>
      <c r="DV147" s="200"/>
      <c r="DW147" s="200"/>
      <c r="DX147" s="200"/>
      <c r="DY147" s="200"/>
      <c r="DZ147" s="200"/>
      <c r="EA147" s="200"/>
      <c r="EB147" s="200"/>
      <c r="EC147" s="200"/>
      <c r="ED147" s="200"/>
      <c r="EE147" s="200"/>
      <c r="EF147" s="200"/>
      <c r="EG147" s="200"/>
      <c r="EH147" s="200"/>
      <c r="EI147" s="200"/>
      <c r="EJ147" s="200"/>
      <c r="EK147" s="200"/>
      <c r="EL147" s="200"/>
      <c r="EM147" s="200"/>
      <c r="EN147" s="200"/>
      <c r="EO147" s="200"/>
      <c r="EP147" s="200"/>
      <c r="EQ147" s="200"/>
      <c r="ER147" s="200"/>
      <c r="ES147" s="200"/>
      <c r="ET147" s="200"/>
      <c r="EU147" s="200"/>
      <c r="EV147" s="200"/>
      <c r="EW147" s="200"/>
      <c r="EX147" s="200"/>
      <c r="EY147" s="200"/>
      <c r="EZ147" s="200"/>
      <c r="FA147" s="200"/>
      <c r="FB147" s="200"/>
      <c r="FC147" s="200"/>
      <c r="FD147" s="200"/>
      <c r="FE147" s="200"/>
      <c r="FF147" s="200"/>
      <c r="FG147" s="200"/>
      <c r="FH147" s="200"/>
      <c r="FI147" s="200"/>
      <c r="FJ147" s="200"/>
      <c r="FK147" s="200"/>
      <c r="FL147" s="200"/>
      <c r="FM147" s="200"/>
      <c r="FN147" s="200"/>
      <c r="FO147" s="200"/>
      <c r="FP147" s="200"/>
      <c r="FQ147" s="200"/>
      <c r="FR147" s="200"/>
      <c r="FS147" s="200"/>
      <c r="FT147" s="200"/>
      <c r="FU147" s="200"/>
      <c r="FV147" s="200"/>
      <c r="FW147" s="200"/>
      <c r="FX147" s="200"/>
      <c r="FY147" s="200"/>
      <c r="FZ147" s="200"/>
      <c r="GA147" s="200"/>
      <c r="GB147" s="200"/>
      <c r="GC147" s="200"/>
      <c r="GD147" s="200"/>
      <c r="GE147" s="200"/>
    </row>
    <row r="148" spans="1:187" s="199" customFormat="1" ht="17.25" customHeight="1">
      <c r="A148" s="64">
        <v>1</v>
      </c>
      <c r="B148" s="33">
        <v>2</v>
      </c>
      <c r="C148" s="34">
        <v>3</v>
      </c>
      <c r="D148" s="34">
        <v>4</v>
      </c>
      <c r="E148" s="34">
        <v>5</v>
      </c>
      <c r="F148" s="34">
        <v>6</v>
      </c>
      <c r="G148" s="34">
        <v>7</v>
      </c>
      <c r="H148" s="34">
        <v>8</v>
      </c>
      <c r="I148" s="34">
        <v>9</v>
      </c>
      <c r="J148" s="119">
        <v>10</v>
      </c>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c r="AZ148" s="200"/>
      <c r="BA148" s="200"/>
      <c r="BB148" s="200"/>
      <c r="BC148" s="200"/>
      <c r="BD148" s="200"/>
      <c r="BE148" s="200"/>
      <c r="BF148" s="200"/>
      <c r="BG148" s="200"/>
      <c r="BH148" s="200"/>
      <c r="BI148" s="200"/>
      <c r="BJ148" s="200"/>
      <c r="BK148" s="200"/>
      <c r="BL148" s="200"/>
      <c r="BM148" s="200"/>
      <c r="BN148" s="200"/>
      <c r="BO148" s="200"/>
      <c r="BP148" s="200"/>
      <c r="BQ148" s="200"/>
      <c r="BR148" s="200"/>
      <c r="BS148" s="200"/>
      <c r="BT148" s="200"/>
      <c r="BU148" s="200"/>
      <c r="BV148" s="200"/>
      <c r="BW148" s="200"/>
      <c r="BX148" s="200"/>
      <c r="BY148" s="200"/>
      <c r="BZ148" s="200"/>
      <c r="CA148" s="200"/>
      <c r="CB148" s="200"/>
      <c r="CC148" s="200"/>
      <c r="CD148" s="200"/>
      <c r="CE148" s="200"/>
      <c r="CF148" s="200"/>
      <c r="CG148" s="200"/>
      <c r="CH148" s="200"/>
      <c r="CI148" s="200"/>
      <c r="CJ148" s="200"/>
      <c r="CK148" s="200"/>
      <c r="CL148" s="200"/>
      <c r="CM148" s="200"/>
      <c r="CN148" s="200"/>
      <c r="CO148" s="200"/>
      <c r="CP148" s="200"/>
      <c r="CQ148" s="200"/>
      <c r="CR148" s="200"/>
      <c r="CS148" s="200"/>
      <c r="CT148" s="200"/>
      <c r="CU148" s="200"/>
      <c r="CV148" s="200"/>
      <c r="CW148" s="200"/>
      <c r="CX148" s="200"/>
      <c r="CY148" s="200"/>
      <c r="CZ148" s="200"/>
      <c r="DA148" s="200"/>
      <c r="DB148" s="200"/>
      <c r="DC148" s="200"/>
      <c r="DD148" s="200"/>
      <c r="DE148" s="200"/>
      <c r="DF148" s="200"/>
      <c r="DG148" s="200"/>
      <c r="DH148" s="200"/>
      <c r="DI148" s="200"/>
      <c r="DJ148" s="200"/>
      <c r="DK148" s="200"/>
      <c r="DL148" s="200"/>
      <c r="DM148" s="200"/>
      <c r="DN148" s="200"/>
      <c r="DO148" s="200"/>
      <c r="DP148" s="200"/>
      <c r="DQ148" s="200"/>
      <c r="DR148" s="200"/>
      <c r="DS148" s="200"/>
      <c r="DT148" s="200"/>
      <c r="DU148" s="200"/>
      <c r="DV148" s="200"/>
      <c r="DW148" s="200"/>
      <c r="DX148" s="200"/>
      <c r="DY148" s="200"/>
      <c r="DZ148" s="200"/>
      <c r="EA148" s="200"/>
      <c r="EB148" s="200"/>
      <c r="EC148" s="200"/>
      <c r="ED148" s="200"/>
      <c r="EE148" s="200"/>
      <c r="EF148" s="200"/>
      <c r="EG148" s="200"/>
      <c r="EH148" s="200"/>
      <c r="EI148" s="200"/>
      <c r="EJ148" s="200"/>
      <c r="EK148" s="200"/>
      <c r="EL148" s="200"/>
      <c r="EM148" s="200"/>
      <c r="EN148" s="200"/>
      <c r="EO148" s="200"/>
      <c r="EP148" s="200"/>
      <c r="EQ148" s="200"/>
      <c r="ER148" s="200"/>
      <c r="ES148" s="200"/>
      <c r="ET148" s="200"/>
      <c r="EU148" s="200"/>
      <c r="EV148" s="200"/>
      <c r="EW148" s="200"/>
      <c r="EX148" s="200"/>
      <c r="EY148" s="200"/>
      <c r="EZ148" s="200"/>
      <c r="FA148" s="200"/>
      <c r="FB148" s="200"/>
      <c r="FC148" s="200"/>
      <c r="FD148" s="200"/>
      <c r="FE148" s="200"/>
      <c r="FF148" s="200"/>
      <c r="FG148" s="200"/>
      <c r="FH148" s="200"/>
      <c r="FI148" s="200"/>
      <c r="FJ148" s="200"/>
      <c r="FK148" s="200"/>
      <c r="FL148" s="200"/>
      <c r="FM148" s="200"/>
      <c r="FN148" s="200"/>
      <c r="FO148" s="200"/>
      <c r="FP148" s="200"/>
      <c r="FQ148" s="200"/>
      <c r="FR148" s="200"/>
      <c r="FS148" s="200"/>
      <c r="FT148" s="200"/>
      <c r="FU148" s="200"/>
      <c r="FV148" s="200"/>
      <c r="FW148" s="200"/>
      <c r="FX148" s="200"/>
      <c r="FY148" s="200"/>
      <c r="FZ148" s="200"/>
      <c r="GA148" s="200"/>
      <c r="GB148" s="200"/>
      <c r="GC148" s="200"/>
      <c r="GD148" s="200"/>
      <c r="GE148" s="200"/>
    </row>
    <row r="149" spans="1:187" s="199" customFormat="1" ht="15">
      <c r="A149" s="89" t="s">
        <v>89</v>
      </c>
      <c r="B149" s="13" t="s">
        <v>88</v>
      </c>
      <c r="C149" s="14" t="s">
        <v>35</v>
      </c>
      <c r="D149" s="15">
        <f>SUM(E149:J149)</f>
        <v>0</v>
      </c>
      <c r="E149" s="16"/>
      <c r="F149" s="16"/>
      <c r="G149" s="16"/>
      <c r="H149" s="16"/>
      <c r="I149" s="16"/>
      <c r="J149" s="16"/>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c r="AZ149" s="200"/>
      <c r="BA149" s="200"/>
      <c r="BB149" s="200"/>
      <c r="BC149" s="200"/>
      <c r="BD149" s="200"/>
      <c r="BE149" s="200"/>
      <c r="BF149" s="200"/>
      <c r="BG149" s="200"/>
      <c r="BH149" s="200"/>
      <c r="BI149" s="200"/>
      <c r="BJ149" s="200"/>
      <c r="BK149" s="200"/>
      <c r="BL149" s="200"/>
      <c r="BM149" s="200"/>
      <c r="BN149" s="200"/>
      <c r="BO149" s="200"/>
      <c r="BP149" s="200"/>
      <c r="BQ149" s="200"/>
      <c r="BR149" s="200"/>
      <c r="BS149" s="200"/>
      <c r="BT149" s="200"/>
      <c r="BU149" s="200"/>
      <c r="BV149" s="200"/>
      <c r="BW149" s="200"/>
      <c r="BX149" s="200"/>
      <c r="BY149" s="200"/>
      <c r="BZ149" s="200"/>
      <c r="CA149" s="200"/>
      <c r="CB149" s="200"/>
      <c r="CC149" s="200"/>
      <c r="CD149" s="200"/>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c r="EI149" s="200"/>
      <c r="EJ149" s="200"/>
      <c r="EK149" s="200"/>
      <c r="EL149" s="200"/>
      <c r="EM149" s="200"/>
      <c r="EN149" s="200"/>
      <c r="EO149" s="200"/>
      <c r="EP149" s="200"/>
      <c r="EQ149" s="200"/>
      <c r="ER149" s="200"/>
      <c r="ES149" s="200"/>
      <c r="ET149" s="200"/>
      <c r="EU149" s="200"/>
      <c r="EV149" s="200"/>
      <c r="EW149" s="200"/>
      <c r="EX149" s="200"/>
      <c r="EY149" s="200"/>
      <c r="EZ149" s="200"/>
      <c r="FA149" s="200"/>
      <c r="FB149" s="200"/>
      <c r="FC149" s="200"/>
      <c r="FD149" s="200"/>
      <c r="FE149" s="200"/>
      <c r="FF149" s="200"/>
      <c r="FG149" s="200"/>
      <c r="FH149" s="200"/>
      <c r="FI149" s="200"/>
      <c r="FJ149" s="200"/>
      <c r="FK149" s="200"/>
      <c r="FL149" s="200"/>
      <c r="FM149" s="200"/>
      <c r="FN149" s="200"/>
      <c r="FO149" s="200"/>
      <c r="FP149" s="200"/>
      <c r="FQ149" s="200"/>
      <c r="FR149" s="200"/>
      <c r="FS149" s="200"/>
      <c r="FT149" s="200"/>
      <c r="FU149" s="200"/>
      <c r="FV149" s="200"/>
      <c r="FW149" s="200"/>
      <c r="FX149" s="200"/>
      <c r="FY149" s="200"/>
      <c r="FZ149" s="200"/>
      <c r="GA149" s="200"/>
      <c r="GB149" s="200"/>
      <c r="GC149" s="200"/>
      <c r="GD149" s="200"/>
      <c r="GE149" s="200"/>
    </row>
    <row r="150" spans="1:187" s="199" customFormat="1" ht="18" customHeight="1">
      <c r="A150" s="89" t="s">
        <v>90</v>
      </c>
      <c r="B150" s="17" t="s">
        <v>91</v>
      </c>
      <c r="C150" s="14" t="s">
        <v>35</v>
      </c>
      <c r="D150" s="15">
        <f>SUM(E150:J150)</f>
        <v>0</v>
      </c>
      <c r="E150" s="16"/>
      <c r="F150" s="16"/>
      <c r="G150" s="16"/>
      <c r="H150" s="16"/>
      <c r="I150" s="16"/>
      <c r="J150" s="16"/>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c r="BR150" s="200"/>
      <c r="BS150" s="200"/>
      <c r="BT150" s="200"/>
      <c r="BU150" s="200"/>
      <c r="BV150" s="200"/>
      <c r="BW150" s="200"/>
      <c r="BX150" s="200"/>
      <c r="BY150" s="200"/>
      <c r="BZ150" s="200"/>
      <c r="CA150" s="200"/>
      <c r="CB150" s="200"/>
      <c r="CC150" s="200"/>
      <c r="CD150" s="200"/>
      <c r="CE150" s="200"/>
      <c r="CF150" s="200"/>
      <c r="CG150" s="200"/>
      <c r="CH150" s="200"/>
      <c r="CI150" s="200"/>
      <c r="CJ150" s="200"/>
      <c r="CK150" s="200"/>
      <c r="CL150" s="200"/>
      <c r="CM150" s="200"/>
      <c r="CN150" s="200"/>
      <c r="CO150" s="200"/>
      <c r="CP150" s="200"/>
      <c r="CQ150" s="200"/>
      <c r="CR150" s="200"/>
      <c r="CS150" s="200"/>
      <c r="CT150" s="200"/>
      <c r="CU150" s="200"/>
      <c r="CV150" s="200"/>
      <c r="CW150" s="200"/>
      <c r="CX150" s="200"/>
      <c r="CY150" s="200"/>
      <c r="CZ150" s="200"/>
      <c r="DA150" s="200"/>
      <c r="DB150" s="200"/>
      <c r="DC150" s="200"/>
      <c r="DD150" s="200"/>
      <c r="DE150" s="200"/>
      <c r="DF150" s="200"/>
      <c r="DG150" s="200"/>
      <c r="DH150" s="200"/>
      <c r="DI150" s="200"/>
      <c r="DJ150" s="200"/>
      <c r="DK150" s="200"/>
      <c r="DL150" s="200"/>
      <c r="DM150" s="200"/>
      <c r="DN150" s="200"/>
      <c r="DO150" s="200"/>
      <c r="DP150" s="200"/>
      <c r="DQ150" s="200"/>
      <c r="DR150" s="200"/>
      <c r="DS150" s="200"/>
      <c r="DT150" s="200"/>
      <c r="DU150" s="200"/>
      <c r="DV150" s="200"/>
      <c r="DW150" s="200"/>
      <c r="DX150" s="200"/>
      <c r="DY150" s="200"/>
      <c r="DZ150" s="200"/>
      <c r="EA150" s="200"/>
      <c r="EB150" s="200"/>
      <c r="EC150" s="200"/>
      <c r="ED150" s="200"/>
      <c r="EE150" s="200"/>
      <c r="EF150" s="200"/>
      <c r="EG150" s="200"/>
      <c r="EH150" s="200"/>
      <c r="EI150" s="200"/>
      <c r="EJ150" s="200"/>
      <c r="EK150" s="200"/>
      <c r="EL150" s="200"/>
      <c r="EM150" s="200"/>
      <c r="EN150" s="200"/>
      <c r="EO150" s="200"/>
      <c r="EP150" s="200"/>
      <c r="EQ150" s="200"/>
      <c r="ER150" s="200"/>
      <c r="ES150" s="200"/>
      <c r="ET150" s="200"/>
      <c r="EU150" s="200"/>
      <c r="EV150" s="200"/>
      <c r="EW150" s="200"/>
      <c r="EX150" s="200"/>
      <c r="EY150" s="200"/>
      <c r="EZ150" s="200"/>
      <c r="FA150" s="200"/>
      <c r="FB150" s="200"/>
      <c r="FC150" s="200"/>
      <c r="FD150" s="200"/>
      <c r="FE150" s="200"/>
      <c r="FF150" s="200"/>
      <c r="FG150" s="200"/>
      <c r="FH150" s="200"/>
      <c r="FI150" s="200"/>
      <c r="FJ150" s="200"/>
      <c r="FK150" s="200"/>
      <c r="FL150" s="200"/>
      <c r="FM150" s="200"/>
      <c r="FN150" s="200"/>
      <c r="FO150" s="200"/>
      <c r="FP150" s="200"/>
      <c r="FQ150" s="200"/>
      <c r="FR150" s="200"/>
      <c r="FS150" s="200"/>
      <c r="FT150" s="200"/>
      <c r="FU150" s="200"/>
      <c r="FV150" s="200"/>
      <c r="FW150" s="200"/>
      <c r="FX150" s="200"/>
      <c r="FY150" s="200"/>
      <c r="FZ150" s="200"/>
      <c r="GA150" s="200"/>
      <c r="GB150" s="200"/>
      <c r="GC150" s="200"/>
      <c r="GD150" s="200"/>
      <c r="GE150" s="200"/>
    </row>
    <row r="151" spans="1:187" s="199" customFormat="1" ht="21.75" customHeight="1">
      <c r="A151" s="18" t="s">
        <v>92</v>
      </c>
      <c r="B151" s="19" t="s">
        <v>93</v>
      </c>
      <c r="C151" s="20"/>
      <c r="D151" s="219">
        <f>SUM(E151:J151)</f>
        <v>71591325.32341999</v>
      </c>
      <c r="E151" s="21">
        <f>E156</f>
        <v>13995000.003419999</v>
      </c>
      <c r="F151" s="21">
        <f>F156</f>
        <v>57339640</v>
      </c>
      <c r="G151" s="21">
        <f>G163</f>
        <v>0</v>
      </c>
      <c r="H151" s="21">
        <f>H153+H156+H163</f>
        <v>256685.32</v>
      </c>
      <c r="I151" s="21"/>
      <c r="J151" s="12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0"/>
      <c r="BR151" s="200"/>
      <c r="BS151" s="200"/>
      <c r="BT151" s="200"/>
      <c r="BU151" s="200"/>
      <c r="BV151" s="200"/>
      <c r="BW151" s="200"/>
      <c r="BX151" s="200"/>
      <c r="BY151" s="200"/>
      <c r="BZ151" s="200"/>
      <c r="CA151" s="200"/>
      <c r="CB151" s="200"/>
      <c r="CC151" s="200"/>
      <c r="CD151" s="200"/>
      <c r="CE151" s="200"/>
      <c r="CF151" s="200"/>
      <c r="CG151" s="200"/>
      <c r="CH151" s="200"/>
      <c r="CI151" s="200"/>
      <c r="CJ151" s="200"/>
      <c r="CK151" s="200"/>
      <c r="CL151" s="200"/>
      <c r="CM151" s="200"/>
      <c r="CN151" s="200"/>
      <c r="CO151" s="200"/>
      <c r="CP151" s="200"/>
      <c r="CQ151" s="200"/>
      <c r="CR151" s="200"/>
      <c r="CS151" s="200"/>
      <c r="CT151" s="200"/>
      <c r="CU151" s="200"/>
      <c r="CV151" s="200"/>
      <c r="CW151" s="200"/>
      <c r="CX151" s="200"/>
      <c r="CY151" s="200"/>
      <c r="CZ151" s="200"/>
      <c r="DA151" s="200"/>
      <c r="DB151" s="200"/>
      <c r="DC151" s="200"/>
      <c r="DD151" s="200"/>
      <c r="DE151" s="200"/>
      <c r="DF151" s="200"/>
      <c r="DG151" s="200"/>
      <c r="DH151" s="200"/>
      <c r="DI151" s="200"/>
      <c r="DJ151" s="200"/>
      <c r="DK151" s="200"/>
      <c r="DL151" s="200"/>
      <c r="DM151" s="200"/>
      <c r="DN151" s="200"/>
      <c r="DO151" s="200"/>
      <c r="DP151" s="200"/>
      <c r="DQ151" s="200"/>
      <c r="DR151" s="200"/>
      <c r="DS151" s="200"/>
      <c r="DT151" s="200"/>
      <c r="DU151" s="200"/>
      <c r="DV151" s="200"/>
      <c r="DW151" s="200"/>
      <c r="DX151" s="200"/>
      <c r="DY151" s="200"/>
      <c r="DZ151" s="200"/>
      <c r="EA151" s="200"/>
      <c r="EB151" s="200"/>
      <c r="EC151" s="200"/>
      <c r="ED151" s="200"/>
      <c r="EE151" s="200"/>
      <c r="EF151" s="200"/>
      <c r="EG151" s="200"/>
      <c r="EH151" s="200"/>
      <c r="EI151" s="200"/>
      <c r="EJ151" s="200"/>
      <c r="EK151" s="200"/>
      <c r="EL151" s="200"/>
      <c r="EM151" s="200"/>
      <c r="EN151" s="200"/>
      <c r="EO151" s="200"/>
      <c r="EP151" s="200"/>
      <c r="EQ151" s="200"/>
      <c r="ER151" s="200"/>
      <c r="ES151" s="200"/>
      <c r="ET151" s="200"/>
      <c r="EU151" s="200"/>
      <c r="EV151" s="200"/>
      <c r="EW151" s="200"/>
      <c r="EX151" s="200"/>
      <c r="EY151" s="200"/>
      <c r="EZ151" s="200"/>
      <c r="FA151" s="200"/>
      <c r="FB151" s="200"/>
      <c r="FC151" s="200"/>
      <c r="FD151" s="200"/>
      <c r="FE151" s="200"/>
      <c r="FF151" s="200"/>
      <c r="FG151" s="200"/>
      <c r="FH151" s="200"/>
      <c r="FI151" s="200"/>
      <c r="FJ151" s="200"/>
      <c r="FK151" s="200"/>
      <c r="FL151" s="200"/>
      <c r="FM151" s="200"/>
      <c r="FN151" s="200"/>
      <c r="FO151" s="200"/>
      <c r="FP151" s="200"/>
      <c r="FQ151" s="200"/>
      <c r="FR151" s="200"/>
      <c r="FS151" s="200"/>
      <c r="FT151" s="200"/>
      <c r="FU151" s="200"/>
      <c r="FV151" s="200"/>
      <c r="FW151" s="200"/>
      <c r="FX151" s="200"/>
      <c r="FY151" s="200"/>
      <c r="FZ151" s="200"/>
      <c r="GA151" s="200"/>
      <c r="GB151" s="200"/>
      <c r="GC151" s="200"/>
      <c r="GD151" s="200"/>
      <c r="GE151" s="200"/>
    </row>
    <row r="152" spans="1:187" s="199" customFormat="1" ht="15" hidden="1">
      <c r="A152" s="39" t="s">
        <v>100</v>
      </c>
      <c r="B152" s="54"/>
      <c r="C152" s="29"/>
      <c r="D152" s="220"/>
      <c r="E152" s="55"/>
      <c r="F152" s="55"/>
      <c r="G152" s="55"/>
      <c r="H152" s="55"/>
      <c r="I152" s="55"/>
      <c r="J152" s="121"/>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c r="AZ152" s="200"/>
      <c r="BA152" s="200"/>
      <c r="BB152" s="200"/>
      <c r="BC152" s="200"/>
      <c r="BD152" s="200"/>
      <c r="BE152" s="200"/>
      <c r="BF152" s="200"/>
      <c r="BG152" s="200"/>
      <c r="BH152" s="200"/>
      <c r="BI152" s="200"/>
      <c r="BJ152" s="200"/>
      <c r="BK152" s="200"/>
      <c r="BL152" s="200"/>
      <c r="BM152" s="200"/>
      <c r="BN152" s="200"/>
      <c r="BO152" s="200"/>
      <c r="BP152" s="200"/>
      <c r="BQ152" s="200"/>
      <c r="BR152" s="200"/>
      <c r="BS152" s="200"/>
      <c r="BT152" s="200"/>
      <c r="BU152" s="200"/>
      <c r="BV152" s="200"/>
      <c r="BW152" s="200"/>
      <c r="BX152" s="200"/>
      <c r="BY152" s="200"/>
      <c r="BZ152" s="200"/>
      <c r="CA152" s="200"/>
      <c r="CB152" s="200"/>
      <c r="CC152" s="200"/>
      <c r="CD152" s="200"/>
      <c r="CE152" s="200"/>
      <c r="CF152" s="200"/>
      <c r="CG152" s="200"/>
      <c r="CH152" s="200"/>
      <c r="CI152" s="200"/>
      <c r="CJ152" s="200"/>
      <c r="CK152" s="200"/>
      <c r="CL152" s="200"/>
      <c r="CM152" s="200"/>
      <c r="CN152" s="200"/>
      <c r="CO152" s="200"/>
      <c r="CP152" s="200"/>
      <c r="CQ152" s="200"/>
      <c r="CR152" s="200"/>
      <c r="CS152" s="200"/>
      <c r="CT152" s="200"/>
      <c r="CU152" s="200"/>
      <c r="CV152" s="200"/>
      <c r="CW152" s="200"/>
      <c r="CX152" s="200"/>
      <c r="CY152" s="200"/>
      <c r="CZ152" s="200"/>
      <c r="DA152" s="200"/>
      <c r="DB152" s="200"/>
      <c r="DC152" s="200"/>
      <c r="DD152" s="200"/>
      <c r="DE152" s="200"/>
      <c r="DF152" s="200"/>
      <c r="DG152" s="200"/>
      <c r="DH152" s="200"/>
      <c r="DI152" s="200"/>
      <c r="DJ152" s="200"/>
      <c r="DK152" s="200"/>
      <c r="DL152" s="200"/>
      <c r="DM152" s="200"/>
      <c r="DN152" s="200"/>
      <c r="DO152" s="200"/>
      <c r="DP152" s="200"/>
      <c r="DQ152" s="200"/>
      <c r="DR152" s="200"/>
      <c r="DS152" s="200"/>
      <c r="DT152" s="200"/>
      <c r="DU152" s="200"/>
      <c r="DV152" s="200"/>
      <c r="DW152" s="200"/>
      <c r="DX152" s="200"/>
      <c r="DY152" s="200"/>
      <c r="DZ152" s="200"/>
      <c r="EA152" s="200"/>
      <c r="EB152" s="200"/>
      <c r="EC152" s="200"/>
      <c r="ED152" s="200"/>
      <c r="EE152" s="200"/>
      <c r="EF152" s="200"/>
      <c r="EG152" s="200"/>
      <c r="EH152" s="200"/>
      <c r="EI152" s="200"/>
      <c r="EJ152" s="200"/>
      <c r="EK152" s="200"/>
      <c r="EL152" s="200"/>
      <c r="EM152" s="200"/>
      <c r="EN152" s="200"/>
      <c r="EO152" s="200"/>
      <c r="EP152" s="200"/>
      <c r="EQ152" s="200"/>
      <c r="ER152" s="200"/>
      <c r="ES152" s="200"/>
      <c r="ET152" s="200"/>
      <c r="EU152" s="200"/>
      <c r="EV152" s="200"/>
      <c r="EW152" s="200"/>
      <c r="EX152" s="200"/>
      <c r="EY152" s="200"/>
      <c r="EZ152" s="200"/>
      <c r="FA152" s="200"/>
      <c r="FB152" s="200"/>
      <c r="FC152" s="200"/>
      <c r="FD152" s="200"/>
      <c r="FE152" s="200"/>
      <c r="FF152" s="200"/>
      <c r="FG152" s="200"/>
      <c r="FH152" s="200"/>
      <c r="FI152" s="200"/>
      <c r="FJ152" s="200"/>
      <c r="FK152" s="200"/>
      <c r="FL152" s="200"/>
      <c r="FM152" s="200"/>
      <c r="FN152" s="200"/>
      <c r="FO152" s="200"/>
      <c r="FP152" s="200"/>
      <c r="FQ152" s="200"/>
      <c r="FR152" s="200"/>
      <c r="FS152" s="200"/>
      <c r="FT152" s="200"/>
      <c r="FU152" s="200"/>
      <c r="FV152" s="200"/>
      <c r="FW152" s="200"/>
      <c r="FX152" s="200"/>
      <c r="FY152" s="200"/>
      <c r="FZ152" s="200"/>
      <c r="GA152" s="200"/>
      <c r="GB152" s="200"/>
      <c r="GC152" s="200"/>
      <c r="GD152" s="200"/>
      <c r="GE152" s="200"/>
    </row>
    <row r="153" spans="1:187" s="199" customFormat="1" ht="36" customHeight="1">
      <c r="A153" s="32" t="s">
        <v>748</v>
      </c>
      <c r="B153" s="33" t="s">
        <v>94</v>
      </c>
      <c r="C153" s="34">
        <v>120</v>
      </c>
      <c r="D153" s="220">
        <f>SUM(E153:J153)</f>
        <v>206288.30000000002</v>
      </c>
      <c r="E153" s="35"/>
      <c r="F153" s="35"/>
      <c r="G153" s="35"/>
      <c r="H153" s="35">
        <f>H154+H155</f>
        <v>206288.30000000002</v>
      </c>
      <c r="I153" s="35"/>
      <c r="J153" s="122"/>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c r="AZ153" s="200"/>
      <c r="BA153" s="200"/>
      <c r="BB153" s="200"/>
      <c r="BC153" s="200"/>
      <c r="BD153" s="200"/>
      <c r="BE153" s="200"/>
      <c r="BF153" s="200"/>
      <c r="BG153" s="200"/>
      <c r="BH153" s="200"/>
      <c r="BI153" s="200"/>
      <c r="BJ153" s="200"/>
      <c r="BK153" s="200"/>
      <c r="BL153" s="200"/>
      <c r="BM153" s="200"/>
      <c r="BN153" s="200"/>
      <c r="BO153" s="200"/>
      <c r="BP153" s="200"/>
      <c r="BQ153" s="200"/>
      <c r="BR153" s="200"/>
      <c r="BS153" s="200"/>
      <c r="BT153" s="200"/>
      <c r="BU153" s="200"/>
      <c r="BV153" s="200"/>
      <c r="BW153" s="200"/>
      <c r="BX153" s="200"/>
      <c r="BY153" s="200"/>
      <c r="BZ153" s="200"/>
      <c r="CA153" s="200"/>
      <c r="CB153" s="200"/>
      <c r="CC153" s="200"/>
      <c r="CD153" s="200"/>
      <c r="CE153" s="200"/>
      <c r="CF153" s="200"/>
      <c r="CG153" s="200"/>
      <c r="CH153" s="200"/>
      <c r="CI153" s="200"/>
      <c r="CJ153" s="200"/>
      <c r="CK153" s="200"/>
      <c r="CL153" s="200"/>
      <c r="CM153" s="200"/>
      <c r="CN153" s="200"/>
      <c r="CO153" s="200"/>
      <c r="CP153" s="200"/>
      <c r="CQ153" s="200"/>
      <c r="CR153" s="200"/>
      <c r="CS153" s="200"/>
      <c r="CT153" s="200"/>
      <c r="CU153" s="200"/>
      <c r="CV153" s="200"/>
      <c r="CW153" s="200"/>
      <c r="CX153" s="200"/>
      <c r="CY153" s="200"/>
      <c r="CZ153" s="200"/>
      <c r="DA153" s="200"/>
      <c r="DB153" s="200"/>
      <c r="DC153" s="200"/>
      <c r="DD153" s="200"/>
      <c r="DE153" s="200"/>
      <c r="DF153" s="200"/>
      <c r="DG153" s="200"/>
      <c r="DH153" s="200"/>
      <c r="DI153" s="200"/>
      <c r="DJ153" s="200"/>
      <c r="DK153" s="200"/>
      <c r="DL153" s="200"/>
      <c r="DM153" s="200"/>
      <c r="DN153" s="200"/>
      <c r="DO153" s="200"/>
      <c r="DP153" s="200"/>
      <c r="DQ153" s="200"/>
      <c r="DR153" s="200"/>
      <c r="DS153" s="200"/>
      <c r="DT153" s="200"/>
      <c r="DU153" s="200"/>
      <c r="DV153" s="200"/>
      <c r="DW153" s="200"/>
      <c r="DX153" s="200"/>
      <c r="DY153" s="200"/>
      <c r="DZ153" s="200"/>
      <c r="EA153" s="200"/>
      <c r="EB153" s="200"/>
      <c r="EC153" s="200"/>
      <c r="ED153" s="200"/>
      <c r="EE153" s="200"/>
      <c r="EF153" s="200"/>
      <c r="EG153" s="200"/>
      <c r="EH153" s="200"/>
      <c r="EI153" s="200"/>
      <c r="EJ153" s="200"/>
      <c r="EK153" s="200"/>
      <c r="EL153" s="200"/>
      <c r="EM153" s="200"/>
      <c r="EN153" s="200"/>
      <c r="EO153" s="200"/>
      <c r="EP153" s="200"/>
      <c r="EQ153" s="200"/>
      <c r="ER153" s="200"/>
      <c r="ES153" s="200"/>
      <c r="ET153" s="200"/>
      <c r="EU153" s="200"/>
      <c r="EV153" s="200"/>
      <c r="EW153" s="200"/>
      <c r="EX153" s="200"/>
      <c r="EY153" s="200"/>
      <c r="EZ153" s="200"/>
      <c r="FA153" s="200"/>
      <c r="FB153" s="200"/>
      <c r="FC153" s="200"/>
      <c r="FD153" s="200"/>
      <c r="FE153" s="200"/>
      <c r="FF153" s="200"/>
      <c r="FG153" s="200"/>
      <c r="FH153" s="200"/>
      <c r="FI153" s="200"/>
      <c r="FJ153" s="200"/>
      <c r="FK153" s="200"/>
      <c r="FL153" s="200"/>
      <c r="FM153" s="200"/>
      <c r="FN153" s="200"/>
      <c r="FO153" s="200"/>
      <c r="FP153" s="200"/>
      <c r="FQ153" s="200"/>
      <c r="FR153" s="200"/>
      <c r="FS153" s="200"/>
      <c r="FT153" s="200"/>
      <c r="FU153" s="200"/>
      <c r="FV153" s="200"/>
      <c r="FW153" s="200"/>
      <c r="FX153" s="200"/>
      <c r="FY153" s="200"/>
      <c r="FZ153" s="200"/>
      <c r="GA153" s="200"/>
      <c r="GB153" s="200"/>
      <c r="GC153" s="200"/>
      <c r="GD153" s="200"/>
      <c r="GE153" s="200"/>
    </row>
    <row r="154" spans="1:187" s="199" customFormat="1" ht="28.5" customHeight="1">
      <c r="A154" s="39" t="s">
        <v>749</v>
      </c>
      <c r="B154" s="54" t="s">
        <v>714</v>
      </c>
      <c r="C154" s="29" t="s">
        <v>645</v>
      </c>
      <c r="D154" s="220">
        <f>SUM(E154:J154)</f>
        <v>19602.7</v>
      </c>
      <c r="E154" s="55"/>
      <c r="F154" s="55"/>
      <c r="G154" s="55"/>
      <c r="H154" s="55">
        <v>19602.7</v>
      </c>
      <c r="I154" s="215"/>
      <c r="J154" s="121"/>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c r="AZ154" s="200"/>
      <c r="BA154" s="200"/>
      <c r="BB154" s="200"/>
      <c r="BC154" s="200"/>
      <c r="BD154" s="200"/>
      <c r="BE154" s="200"/>
      <c r="BF154" s="200"/>
      <c r="BG154" s="200"/>
      <c r="BH154" s="200"/>
      <c r="BI154" s="200"/>
      <c r="BJ154" s="200"/>
      <c r="BK154" s="200"/>
      <c r="BL154" s="200"/>
      <c r="BM154" s="200"/>
      <c r="BN154" s="200"/>
      <c r="BO154" s="200"/>
      <c r="BP154" s="200"/>
      <c r="BQ154" s="200"/>
      <c r="BR154" s="200"/>
      <c r="BS154" s="200"/>
      <c r="BT154" s="200"/>
      <c r="BU154" s="200"/>
      <c r="BV154" s="200"/>
      <c r="BW154" s="200"/>
      <c r="BX154" s="200"/>
      <c r="BY154" s="200"/>
      <c r="BZ154" s="200"/>
      <c r="CA154" s="200"/>
      <c r="CB154" s="200"/>
      <c r="CC154" s="200"/>
      <c r="CD154" s="200"/>
      <c r="CE154" s="200"/>
      <c r="CF154" s="200"/>
      <c r="CG154" s="200"/>
      <c r="CH154" s="200"/>
      <c r="CI154" s="200"/>
      <c r="CJ154" s="200"/>
      <c r="CK154" s="200"/>
      <c r="CL154" s="200"/>
      <c r="CM154" s="200"/>
      <c r="CN154" s="200"/>
      <c r="CO154" s="200"/>
      <c r="CP154" s="200"/>
      <c r="CQ154" s="200"/>
      <c r="CR154" s="200"/>
      <c r="CS154" s="200"/>
      <c r="CT154" s="200"/>
      <c r="CU154" s="200"/>
      <c r="CV154" s="200"/>
      <c r="CW154" s="200"/>
      <c r="CX154" s="200"/>
      <c r="CY154" s="200"/>
      <c r="CZ154" s="200"/>
      <c r="DA154" s="200"/>
      <c r="DB154" s="200"/>
      <c r="DC154" s="200"/>
      <c r="DD154" s="200"/>
      <c r="DE154" s="200"/>
      <c r="DF154" s="200"/>
      <c r="DG154" s="200"/>
      <c r="DH154" s="200"/>
      <c r="DI154" s="200"/>
      <c r="DJ154" s="200"/>
      <c r="DK154" s="200"/>
      <c r="DL154" s="200"/>
      <c r="DM154" s="200"/>
      <c r="DN154" s="200"/>
      <c r="DO154" s="200"/>
      <c r="DP154" s="200"/>
      <c r="DQ154" s="200"/>
      <c r="DR154" s="200"/>
      <c r="DS154" s="200"/>
      <c r="DT154" s="200"/>
      <c r="DU154" s="200"/>
      <c r="DV154" s="200"/>
      <c r="DW154" s="200"/>
      <c r="DX154" s="200"/>
      <c r="DY154" s="200"/>
      <c r="DZ154" s="200"/>
      <c r="EA154" s="200"/>
      <c r="EB154" s="200"/>
      <c r="EC154" s="200"/>
      <c r="ED154" s="200"/>
      <c r="EE154" s="200"/>
      <c r="EF154" s="200"/>
      <c r="EG154" s="200"/>
      <c r="EH154" s="200"/>
      <c r="EI154" s="200"/>
      <c r="EJ154" s="200"/>
      <c r="EK154" s="200"/>
      <c r="EL154" s="200"/>
      <c r="EM154" s="200"/>
      <c r="EN154" s="200"/>
      <c r="EO154" s="200"/>
      <c r="EP154" s="200"/>
      <c r="EQ154" s="200"/>
      <c r="ER154" s="200"/>
      <c r="ES154" s="200"/>
      <c r="ET154" s="200"/>
      <c r="EU154" s="200"/>
      <c r="EV154" s="200"/>
      <c r="EW154" s="200"/>
      <c r="EX154" s="200"/>
      <c r="EY154" s="200"/>
      <c r="EZ154" s="200"/>
      <c r="FA154" s="200"/>
      <c r="FB154" s="200"/>
      <c r="FC154" s="200"/>
      <c r="FD154" s="200"/>
      <c r="FE154" s="200"/>
      <c r="FF154" s="200"/>
      <c r="FG154" s="200"/>
      <c r="FH154" s="200"/>
      <c r="FI154" s="200"/>
      <c r="FJ154" s="200"/>
      <c r="FK154" s="200"/>
      <c r="FL154" s="200"/>
      <c r="FM154" s="200"/>
      <c r="FN154" s="200"/>
      <c r="FO154" s="200"/>
      <c r="FP154" s="200"/>
      <c r="FQ154" s="200"/>
      <c r="FR154" s="200"/>
      <c r="FS154" s="200"/>
      <c r="FT154" s="200"/>
      <c r="FU154" s="200"/>
      <c r="FV154" s="200"/>
      <c r="FW154" s="200"/>
      <c r="FX154" s="200"/>
      <c r="FY154" s="200"/>
      <c r="FZ154" s="200"/>
      <c r="GA154" s="200"/>
      <c r="GB154" s="200"/>
      <c r="GC154" s="200"/>
      <c r="GD154" s="200"/>
      <c r="GE154" s="200"/>
    </row>
    <row r="155" spans="1:187" s="199" customFormat="1" ht="22.5" customHeight="1">
      <c r="A155" s="39" t="s">
        <v>287</v>
      </c>
      <c r="B155" s="54" t="s">
        <v>730</v>
      </c>
      <c r="C155" s="29" t="s">
        <v>645</v>
      </c>
      <c r="D155" s="220">
        <f>SUM(E155:J155)</f>
        <v>186685.6</v>
      </c>
      <c r="E155" s="55"/>
      <c r="F155" s="55"/>
      <c r="G155" s="55"/>
      <c r="H155" s="55">
        <v>186685.6</v>
      </c>
      <c r="I155" s="55"/>
      <c r="J155" s="121"/>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c r="EI155" s="200"/>
      <c r="EJ155" s="200"/>
      <c r="EK155" s="200"/>
      <c r="EL155" s="200"/>
      <c r="EM155" s="200"/>
      <c r="EN155" s="200"/>
      <c r="EO155" s="200"/>
      <c r="EP155" s="200"/>
      <c r="EQ155" s="200"/>
      <c r="ER155" s="200"/>
      <c r="ES155" s="200"/>
      <c r="ET155" s="200"/>
      <c r="EU155" s="200"/>
      <c r="EV155" s="200"/>
      <c r="EW155" s="200"/>
      <c r="EX155" s="200"/>
      <c r="EY155" s="200"/>
      <c r="EZ155" s="200"/>
      <c r="FA155" s="200"/>
      <c r="FB155" s="200"/>
      <c r="FC155" s="200"/>
      <c r="FD155" s="200"/>
      <c r="FE155" s="200"/>
      <c r="FF155" s="200"/>
      <c r="FG155" s="200"/>
      <c r="FH155" s="200"/>
      <c r="FI155" s="200"/>
      <c r="FJ155" s="200"/>
      <c r="FK155" s="200"/>
      <c r="FL155" s="200"/>
      <c r="FM155" s="200"/>
      <c r="FN155" s="200"/>
      <c r="FO155" s="200"/>
      <c r="FP155" s="200"/>
      <c r="FQ155" s="200"/>
      <c r="FR155" s="200"/>
      <c r="FS155" s="200"/>
      <c r="FT155" s="200"/>
      <c r="FU155" s="200"/>
      <c r="FV155" s="200"/>
      <c r="FW155" s="200"/>
      <c r="FX155" s="200"/>
      <c r="FY155" s="200"/>
      <c r="FZ155" s="200"/>
      <c r="GA155" s="200"/>
      <c r="GB155" s="200"/>
      <c r="GC155" s="200"/>
      <c r="GD155" s="200"/>
      <c r="GE155" s="200"/>
    </row>
    <row r="156" spans="1:187" s="11" customFormat="1" ht="35.25" customHeight="1">
      <c r="A156" s="32" t="s">
        <v>114</v>
      </c>
      <c r="B156" s="33" t="s">
        <v>95</v>
      </c>
      <c r="C156" s="34">
        <v>130</v>
      </c>
      <c r="D156" s="220">
        <f>SUM(E156:J156)</f>
        <v>71384037.02341999</v>
      </c>
      <c r="E156" s="35">
        <f>E158</f>
        <v>13995000.003419999</v>
      </c>
      <c r="F156" s="35">
        <f>F158</f>
        <v>57339640</v>
      </c>
      <c r="G156" s="35"/>
      <c r="H156" s="35">
        <f>H160</f>
        <v>49397.02</v>
      </c>
      <c r="I156" s="35"/>
      <c r="J156" s="122"/>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7"/>
      <c r="BW156" s="117"/>
      <c r="BX156" s="117"/>
      <c r="BY156" s="117"/>
      <c r="BZ156" s="117"/>
      <c r="CA156" s="117"/>
      <c r="CB156" s="117"/>
      <c r="CC156" s="117"/>
      <c r="CD156" s="117"/>
      <c r="CE156" s="117"/>
      <c r="CF156" s="117"/>
      <c r="CG156" s="117"/>
      <c r="CH156" s="117"/>
      <c r="CI156" s="117"/>
      <c r="CJ156" s="117"/>
      <c r="CK156" s="117"/>
      <c r="CL156" s="117"/>
      <c r="CM156" s="117"/>
      <c r="CN156" s="117"/>
      <c r="CO156" s="117"/>
      <c r="CP156" s="117"/>
      <c r="CQ156" s="117"/>
      <c r="CR156" s="117"/>
      <c r="CS156" s="117"/>
      <c r="CT156" s="117"/>
      <c r="CU156" s="117"/>
      <c r="CV156" s="117"/>
      <c r="CW156" s="117"/>
      <c r="CX156" s="117"/>
      <c r="CY156" s="117"/>
      <c r="CZ156" s="117"/>
      <c r="DA156" s="117"/>
      <c r="DB156" s="117"/>
      <c r="DC156" s="117"/>
      <c r="DD156" s="117"/>
      <c r="DE156" s="117"/>
      <c r="DF156" s="117"/>
      <c r="DG156" s="117"/>
      <c r="DH156" s="117"/>
      <c r="DI156" s="117"/>
      <c r="DJ156" s="117"/>
      <c r="DK156" s="117"/>
      <c r="DL156" s="117"/>
      <c r="DM156" s="117"/>
      <c r="DN156" s="117"/>
      <c r="DO156" s="117"/>
      <c r="DP156" s="117"/>
      <c r="DQ156" s="117"/>
      <c r="DR156" s="117"/>
      <c r="DS156" s="117"/>
      <c r="DT156" s="117"/>
      <c r="DU156" s="117"/>
      <c r="DV156" s="117"/>
      <c r="DW156" s="117"/>
      <c r="DX156" s="117"/>
      <c r="DY156" s="117"/>
      <c r="DZ156" s="117"/>
      <c r="EA156" s="117"/>
      <c r="EB156" s="117"/>
      <c r="EC156" s="117"/>
      <c r="ED156" s="117"/>
      <c r="EE156" s="117"/>
      <c r="EF156" s="117"/>
      <c r="EG156" s="117"/>
      <c r="EH156" s="117"/>
      <c r="EI156" s="117"/>
      <c r="EJ156" s="117"/>
      <c r="EK156" s="117"/>
      <c r="EL156" s="117"/>
      <c r="EM156" s="117"/>
      <c r="EN156" s="117"/>
      <c r="EO156" s="117"/>
      <c r="EP156" s="117"/>
      <c r="EQ156" s="117"/>
      <c r="ER156" s="117"/>
      <c r="ES156" s="117"/>
      <c r="ET156" s="117"/>
      <c r="EU156" s="117"/>
      <c r="EV156" s="117"/>
      <c r="EW156" s="117"/>
      <c r="EX156" s="117"/>
      <c r="EY156" s="117"/>
      <c r="EZ156" s="117"/>
      <c r="FA156" s="117"/>
      <c r="FB156" s="117"/>
      <c r="FC156" s="117"/>
      <c r="FD156" s="117"/>
      <c r="FE156" s="117"/>
      <c r="FF156" s="117"/>
      <c r="FG156" s="117"/>
      <c r="FH156" s="117"/>
      <c r="FI156" s="117"/>
      <c r="FJ156" s="117"/>
      <c r="FK156" s="117"/>
      <c r="FL156" s="117"/>
      <c r="FM156" s="117"/>
      <c r="FN156" s="117"/>
      <c r="FO156" s="117"/>
      <c r="FP156" s="117"/>
      <c r="FQ156" s="117"/>
      <c r="FR156" s="117"/>
      <c r="FS156" s="117"/>
      <c r="FT156" s="117"/>
      <c r="FU156" s="117"/>
      <c r="FV156" s="117"/>
      <c r="FW156" s="117"/>
      <c r="FX156" s="117"/>
      <c r="FY156" s="117"/>
      <c r="FZ156" s="117"/>
      <c r="GA156" s="117"/>
      <c r="GB156" s="117"/>
      <c r="GC156" s="117"/>
      <c r="GD156" s="117"/>
      <c r="GE156" s="117"/>
    </row>
    <row r="157" spans="1:187" s="11" customFormat="1" ht="15" hidden="1">
      <c r="A157" s="40" t="s">
        <v>100</v>
      </c>
      <c r="B157" s="54"/>
      <c r="C157" s="29"/>
      <c r="D157" s="220"/>
      <c r="E157" s="55"/>
      <c r="F157" s="55"/>
      <c r="G157" s="55"/>
      <c r="H157" s="55"/>
      <c r="I157" s="55"/>
      <c r="J157" s="121"/>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7"/>
      <c r="BU157" s="117"/>
      <c r="BV157" s="117"/>
      <c r="BW157" s="117"/>
      <c r="BX157" s="117"/>
      <c r="BY157" s="117"/>
      <c r="BZ157" s="117"/>
      <c r="CA157" s="117"/>
      <c r="CB157" s="117"/>
      <c r="CC157" s="117"/>
      <c r="CD157" s="117"/>
      <c r="CE157" s="117"/>
      <c r="CF157" s="117"/>
      <c r="CG157" s="117"/>
      <c r="CH157" s="117"/>
      <c r="CI157" s="117"/>
      <c r="CJ157" s="117"/>
      <c r="CK157" s="117"/>
      <c r="CL157" s="117"/>
      <c r="CM157" s="117"/>
      <c r="CN157" s="117"/>
      <c r="CO157" s="117"/>
      <c r="CP157" s="117"/>
      <c r="CQ157" s="117"/>
      <c r="CR157" s="117"/>
      <c r="CS157" s="117"/>
      <c r="CT157" s="117"/>
      <c r="CU157" s="117"/>
      <c r="CV157" s="117"/>
      <c r="CW157" s="117"/>
      <c r="CX157" s="117"/>
      <c r="CY157" s="117"/>
      <c r="CZ157" s="117"/>
      <c r="DA157" s="117"/>
      <c r="DB157" s="117"/>
      <c r="DC157" s="117"/>
      <c r="DD157" s="117"/>
      <c r="DE157" s="117"/>
      <c r="DF157" s="117"/>
      <c r="DG157" s="117"/>
      <c r="DH157" s="117"/>
      <c r="DI157" s="117"/>
      <c r="DJ157" s="117"/>
      <c r="DK157" s="117"/>
      <c r="DL157" s="117"/>
      <c r="DM157" s="117"/>
      <c r="DN157" s="117"/>
      <c r="DO157" s="117"/>
      <c r="DP157" s="117"/>
      <c r="DQ157" s="117"/>
      <c r="DR157" s="117"/>
      <c r="DS157" s="117"/>
      <c r="DT157" s="117"/>
      <c r="DU157" s="117"/>
      <c r="DV157" s="117"/>
      <c r="DW157" s="117"/>
      <c r="DX157" s="117"/>
      <c r="DY157" s="117"/>
      <c r="DZ157" s="117"/>
      <c r="EA157" s="117"/>
      <c r="EB157" s="117"/>
      <c r="EC157" s="117"/>
      <c r="ED157" s="117"/>
      <c r="EE157" s="117"/>
      <c r="EF157" s="117"/>
      <c r="EG157" s="117"/>
      <c r="EH157" s="117"/>
      <c r="EI157" s="117"/>
      <c r="EJ157" s="117"/>
      <c r="EK157" s="117"/>
      <c r="EL157" s="117"/>
      <c r="EM157" s="117"/>
      <c r="EN157" s="117"/>
      <c r="EO157" s="117"/>
      <c r="EP157" s="117"/>
      <c r="EQ157" s="117"/>
      <c r="ER157" s="117"/>
      <c r="ES157" s="117"/>
      <c r="ET157" s="117"/>
      <c r="EU157" s="117"/>
      <c r="EV157" s="117"/>
      <c r="EW157" s="117"/>
      <c r="EX157" s="117"/>
      <c r="EY157" s="117"/>
      <c r="EZ157" s="117"/>
      <c r="FA157" s="117"/>
      <c r="FB157" s="117"/>
      <c r="FC157" s="117"/>
      <c r="FD157" s="117"/>
      <c r="FE157" s="117"/>
      <c r="FF157" s="117"/>
      <c r="FG157" s="117"/>
      <c r="FH157" s="117"/>
      <c r="FI157" s="117"/>
      <c r="FJ157" s="117"/>
      <c r="FK157" s="117"/>
      <c r="FL157" s="117"/>
      <c r="FM157" s="117"/>
      <c r="FN157" s="117"/>
      <c r="FO157" s="117"/>
      <c r="FP157" s="117"/>
      <c r="FQ157" s="117"/>
      <c r="FR157" s="117"/>
      <c r="FS157" s="117"/>
      <c r="FT157" s="117"/>
      <c r="FU157" s="117"/>
      <c r="FV157" s="117"/>
      <c r="FW157" s="117"/>
      <c r="FX157" s="117"/>
      <c r="FY157" s="117"/>
      <c r="FZ157" s="117"/>
      <c r="GA157" s="117"/>
      <c r="GB157" s="117"/>
      <c r="GC157" s="117"/>
      <c r="GD157" s="117"/>
      <c r="GE157" s="117"/>
    </row>
    <row r="158" spans="1:187" s="11" customFormat="1" ht="46.5">
      <c r="A158" s="36" t="s">
        <v>750</v>
      </c>
      <c r="B158" s="30" t="s">
        <v>98</v>
      </c>
      <c r="C158" s="28" t="s">
        <v>364</v>
      </c>
      <c r="D158" s="220">
        <f>SUM(E158:J158)</f>
        <v>71334640.00342</v>
      </c>
      <c r="E158" s="31">
        <f>E180</f>
        <v>13995000.003419999</v>
      </c>
      <c r="F158" s="31">
        <f>F180</f>
        <v>57339640</v>
      </c>
      <c r="G158" s="31"/>
      <c r="H158" s="31"/>
      <c r="I158" s="31"/>
      <c r="J158" s="123"/>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7"/>
      <c r="AZ158" s="117"/>
      <c r="BA158" s="117"/>
      <c r="BB158" s="117"/>
      <c r="BC158" s="117"/>
      <c r="BD158" s="117"/>
      <c r="BE158" s="117"/>
      <c r="BF158" s="117"/>
      <c r="BG158" s="117"/>
      <c r="BH158" s="117"/>
      <c r="BI158" s="117"/>
      <c r="BJ158" s="117"/>
      <c r="BK158" s="117"/>
      <c r="BL158" s="117"/>
      <c r="BM158" s="117"/>
      <c r="BN158" s="117"/>
      <c r="BO158" s="117"/>
      <c r="BP158" s="117"/>
      <c r="BQ158" s="117"/>
      <c r="BR158" s="117"/>
      <c r="BS158" s="117"/>
      <c r="BT158" s="117"/>
      <c r="BU158" s="117"/>
      <c r="BV158" s="117"/>
      <c r="BW158" s="117"/>
      <c r="BX158" s="117"/>
      <c r="BY158" s="117"/>
      <c r="BZ158" s="117"/>
      <c r="CA158" s="117"/>
      <c r="CB158" s="117"/>
      <c r="CC158" s="117"/>
      <c r="CD158" s="117"/>
      <c r="CE158" s="117"/>
      <c r="CF158" s="117"/>
      <c r="CG158" s="117"/>
      <c r="CH158" s="117"/>
      <c r="CI158" s="117"/>
      <c r="CJ158" s="117"/>
      <c r="CK158" s="117"/>
      <c r="CL158" s="117"/>
      <c r="CM158" s="117"/>
      <c r="CN158" s="117"/>
      <c r="CO158" s="117"/>
      <c r="CP158" s="117"/>
      <c r="CQ158" s="117"/>
      <c r="CR158" s="117"/>
      <c r="CS158" s="117"/>
      <c r="CT158" s="117"/>
      <c r="CU158" s="117"/>
      <c r="CV158" s="117"/>
      <c r="CW158" s="117"/>
      <c r="CX158" s="117"/>
      <c r="CY158" s="117"/>
      <c r="CZ158" s="117"/>
      <c r="DA158" s="117"/>
      <c r="DB158" s="117"/>
      <c r="DC158" s="117"/>
      <c r="DD158" s="117"/>
      <c r="DE158" s="117"/>
      <c r="DF158" s="117"/>
      <c r="DG158" s="117"/>
      <c r="DH158" s="117"/>
      <c r="DI158" s="117"/>
      <c r="DJ158" s="117"/>
      <c r="DK158" s="117"/>
      <c r="DL158" s="117"/>
      <c r="DM158" s="117"/>
      <c r="DN158" s="117"/>
      <c r="DO158" s="117"/>
      <c r="DP158" s="117"/>
      <c r="DQ158" s="117"/>
      <c r="DR158" s="117"/>
      <c r="DS158" s="117"/>
      <c r="DT158" s="117"/>
      <c r="DU158" s="117"/>
      <c r="DV158" s="117"/>
      <c r="DW158" s="117"/>
      <c r="DX158" s="117"/>
      <c r="DY158" s="117"/>
      <c r="DZ158" s="117"/>
      <c r="EA158" s="117"/>
      <c r="EB158" s="117"/>
      <c r="EC158" s="117"/>
      <c r="ED158" s="117"/>
      <c r="EE158" s="117"/>
      <c r="EF158" s="117"/>
      <c r="EG158" s="117"/>
      <c r="EH158" s="117"/>
      <c r="EI158" s="117"/>
      <c r="EJ158" s="117"/>
      <c r="EK158" s="117"/>
      <c r="EL158" s="117"/>
      <c r="EM158" s="117"/>
      <c r="EN158" s="117"/>
      <c r="EO158" s="117"/>
      <c r="EP158" s="117"/>
      <c r="EQ158" s="117"/>
      <c r="ER158" s="117"/>
      <c r="ES158" s="117"/>
      <c r="ET158" s="117"/>
      <c r="EU158" s="117"/>
      <c r="EV158" s="117"/>
      <c r="EW158" s="117"/>
      <c r="EX158" s="117"/>
      <c r="EY158" s="117"/>
      <c r="EZ158" s="117"/>
      <c r="FA158" s="117"/>
      <c r="FB158" s="117"/>
      <c r="FC158" s="117"/>
      <c r="FD158" s="117"/>
      <c r="FE158" s="117"/>
      <c r="FF158" s="117"/>
      <c r="FG158" s="117"/>
      <c r="FH158" s="117"/>
      <c r="FI158" s="117"/>
      <c r="FJ158" s="117"/>
      <c r="FK158" s="117"/>
      <c r="FL158" s="117"/>
      <c r="FM158" s="117"/>
      <c r="FN158" s="117"/>
      <c r="FO158" s="117"/>
      <c r="FP158" s="117"/>
      <c r="FQ158" s="117"/>
      <c r="FR158" s="117"/>
      <c r="FS158" s="117"/>
      <c r="FT158" s="117"/>
      <c r="FU158" s="117"/>
      <c r="FV158" s="117"/>
      <c r="FW158" s="117"/>
      <c r="FX158" s="117"/>
      <c r="FY158" s="117"/>
      <c r="FZ158" s="117"/>
      <c r="GA158" s="117"/>
      <c r="GB158" s="117"/>
      <c r="GC158" s="117"/>
      <c r="GD158" s="117"/>
      <c r="GE158" s="117"/>
    </row>
    <row r="159" spans="1:187" s="11" customFormat="1" ht="62.25" hidden="1">
      <c r="A159" s="36" t="s">
        <v>97</v>
      </c>
      <c r="B159" s="30" t="s">
        <v>96</v>
      </c>
      <c r="C159" s="28" t="s">
        <v>364</v>
      </c>
      <c r="D159" s="220"/>
      <c r="E159" s="31"/>
      <c r="F159" s="31"/>
      <c r="G159" s="31"/>
      <c r="H159" s="31"/>
      <c r="I159" s="31"/>
      <c r="J159" s="123"/>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117"/>
      <c r="BH159" s="117"/>
      <c r="BI159" s="117"/>
      <c r="BJ159" s="117"/>
      <c r="BK159" s="117"/>
      <c r="BL159" s="117"/>
      <c r="BM159" s="117"/>
      <c r="BN159" s="117"/>
      <c r="BO159" s="117"/>
      <c r="BP159" s="117"/>
      <c r="BQ159" s="117"/>
      <c r="BR159" s="117"/>
      <c r="BS159" s="117"/>
      <c r="BT159" s="117"/>
      <c r="BU159" s="117"/>
      <c r="BV159" s="117"/>
      <c r="BW159" s="117"/>
      <c r="BX159" s="117"/>
      <c r="BY159" s="117"/>
      <c r="BZ159" s="117"/>
      <c r="CA159" s="117"/>
      <c r="CB159" s="117"/>
      <c r="CC159" s="117"/>
      <c r="CD159" s="117"/>
      <c r="CE159" s="117"/>
      <c r="CF159" s="117"/>
      <c r="CG159" s="117"/>
      <c r="CH159" s="117"/>
      <c r="CI159" s="117"/>
      <c r="CJ159" s="117"/>
      <c r="CK159" s="117"/>
      <c r="CL159" s="117"/>
      <c r="CM159" s="117"/>
      <c r="CN159" s="117"/>
      <c r="CO159" s="117"/>
      <c r="CP159" s="117"/>
      <c r="CQ159" s="117"/>
      <c r="CR159" s="117"/>
      <c r="CS159" s="117"/>
      <c r="CT159" s="117"/>
      <c r="CU159" s="117"/>
      <c r="CV159" s="117"/>
      <c r="CW159" s="117"/>
      <c r="CX159" s="117"/>
      <c r="CY159" s="117"/>
      <c r="CZ159" s="117"/>
      <c r="DA159" s="117"/>
      <c r="DB159" s="117"/>
      <c r="DC159" s="117"/>
      <c r="DD159" s="117"/>
      <c r="DE159" s="117"/>
      <c r="DF159" s="117"/>
      <c r="DG159" s="117"/>
      <c r="DH159" s="117"/>
      <c r="DI159" s="117"/>
      <c r="DJ159" s="117"/>
      <c r="DK159" s="117"/>
      <c r="DL159" s="117"/>
      <c r="DM159" s="117"/>
      <c r="DN159" s="117"/>
      <c r="DO159" s="117"/>
      <c r="DP159" s="117"/>
      <c r="DQ159" s="117"/>
      <c r="DR159" s="117"/>
      <c r="DS159" s="117"/>
      <c r="DT159" s="117"/>
      <c r="DU159" s="117"/>
      <c r="DV159" s="117"/>
      <c r="DW159" s="117"/>
      <c r="DX159" s="117"/>
      <c r="DY159" s="117"/>
      <c r="DZ159" s="117"/>
      <c r="EA159" s="117"/>
      <c r="EB159" s="117"/>
      <c r="EC159" s="117"/>
      <c r="ED159" s="117"/>
      <c r="EE159" s="117"/>
      <c r="EF159" s="117"/>
      <c r="EG159" s="117"/>
      <c r="EH159" s="117"/>
      <c r="EI159" s="117"/>
      <c r="EJ159" s="117"/>
      <c r="EK159" s="117"/>
      <c r="EL159" s="117"/>
      <c r="EM159" s="117"/>
      <c r="EN159" s="117"/>
      <c r="EO159" s="117"/>
      <c r="EP159" s="117"/>
      <c r="EQ159" s="117"/>
      <c r="ER159" s="117"/>
      <c r="ES159" s="117"/>
      <c r="ET159" s="117"/>
      <c r="EU159" s="117"/>
      <c r="EV159" s="117"/>
      <c r="EW159" s="117"/>
      <c r="EX159" s="117"/>
      <c r="EY159" s="117"/>
      <c r="EZ159" s="117"/>
      <c r="FA159" s="117"/>
      <c r="FB159" s="117"/>
      <c r="FC159" s="117"/>
      <c r="FD159" s="117"/>
      <c r="FE159" s="117"/>
      <c r="FF159" s="117"/>
      <c r="FG159" s="117"/>
      <c r="FH159" s="117"/>
      <c r="FI159" s="117"/>
      <c r="FJ159" s="117"/>
      <c r="FK159" s="117"/>
      <c r="FL159" s="117"/>
      <c r="FM159" s="117"/>
      <c r="FN159" s="117"/>
      <c r="FO159" s="117"/>
      <c r="FP159" s="117"/>
      <c r="FQ159" s="117"/>
      <c r="FR159" s="117"/>
      <c r="FS159" s="117"/>
      <c r="FT159" s="117"/>
      <c r="FU159" s="117"/>
      <c r="FV159" s="117"/>
      <c r="FW159" s="117"/>
      <c r="FX159" s="117"/>
      <c r="FY159" s="117"/>
      <c r="FZ159" s="117"/>
      <c r="GA159" s="117"/>
      <c r="GB159" s="117"/>
      <c r="GC159" s="117"/>
      <c r="GD159" s="117"/>
      <c r="GE159" s="117"/>
    </row>
    <row r="160" spans="1:187" s="11" customFormat="1" ht="15">
      <c r="A160" s="36" t="s">
        <v>447</v>
      </c>
      <c r="B160" s="30" t="s">
        <v>288</v>
      </c>
      <c r="C160" s="28" t="s">
        <v>364</v>
      </c>
      <c r="D160" s="220">
        <f>SUM(E160:J160)</f>
        <v>49397.02</v>
      </c>
      <c r="E160" s="31"/>
      <c r="F160" s="31"/>
      <c r="G160" s="31"/>
      <c r="H160" s="31">
        <v>49397.02</v>
      </c>
      <c r="I160" s="31"/>
      <c r="J160" s="123"/>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c r="BC160" s="117"/>
      <c r="BD160" s="117"/>
      <c r="BE160" s="117"/>
      <c r="BF160" s="117"/>
      <c r="BG160" s="117"/>
      <c r="BH160" s="117"/>
      <c r="BI160" s="117"/>
      <c r="BJ160" s="117"/>
      <c r="BK160" s="117"/>
      <c r="BL160" s="117"/>
      <c r="BM160" s="117"/>
      <c r="BN160" s="117"/>
      <c r="BO160" s="117"/>
      <c r="BP160" s="117"/>
      <c r="BQ160" s="117"/>
      <c r="BR160" s="117"/>
      <c r="BS160" s="117"/>
      <c r="BT160" s="117"/>
      <c r="BU160" s="117"/>
      <c r="BV160" s="117"/>
      <c r="BW160" s="117"/>
      <c r="BX160" s="117"/>
      <c r="BY160" s="117"/>
      <c r="BZ160" s="117"/>
      <c r="CA160" s="117"/>
      <c r="CB160" s="117"/>
      <c r="CC160" s="117"/>
      <c r="CD160" s="117"/>
      <c r="CE160" s="117"/>
      <c r="CF160" s="117"/>
      <c r="CG160" s="117"/>
      <c r="CH160" s="117"/>
      <c r="CI160" s="117"/>
      <c r="CJ160" s="117"/>
      <c r="CK160" s="117"/>
      <c r="CL160" s="117"/>
      <c r="CM160" s="117"/>
      <c r="CN160" s="117"/>
      <c r="CO160" s="117"/>
      <c r="CP160" s="117"/>
      <c r="CQ160" s="117"/>
      <c r="CR160" s="117"/>
      <c r="CS160" s="117"/>
      <c r="CT160" s="117"/>
      <c r="CU160" s="117"/>
      <c r="CV160" s="117"/>
      <c r="CW160" s="117"/>
      <c r="CX160" s="117"/>
      <c r="CY160" s="117"/>
      <c r="CZ160" s="117"/>
      <c r="DA160" s="117"/>
      <c r="DB160" s="117"/>
      <c r="DC160" s="117"/>
      <c r="DD160" s="117"/>
      <c r="DE160" s="117"/>
      <c r="DF160" s="117"/>
      <c r="DG160" s="117"/>
      <c r="DH160" s="117"/>
      <c r="DI160" s="117"/>
      <c r="DJ160" s="117"/>
      <c r="DK160" s="117"/>
      <c r="DL160" s="117"/>
      <c r="DM160" s="117"/>
      <c r="DN160" s="117"/>
      <c r="DO160" s="117"/>
      <c r="DP160" s="117"/>
      <c r="DQ160" s="117"/>
      <c r="DR160" s="117"/>
      <c r="DS160" s="117"/>
      <c r="DT160" s="117"/>
      <c r="DU160" s="117"/>
      <c r="DV160" s="117"/>
      <c r="DW160" s="117"/>
      <c r="DX160" s="117"/>
      <c r="DY160" s="117"/>
      <c r="DZ160" s="117"/>
      <c r="EA160" s="117"/>
      <c r="EB160" s="117"/>
      <c r="EC160" s="117"/>
      <c r="ED160" s="117"/>
      <c r="EE160" s="117"/>
      <c r="EF160" s="117"/>
      <c r="EG160" s="117"/>
      <c r="EH160" s="117"/>
      <c r="EI160" s="117"/>
      <c r="EJ160" s="117"/>
      <c r="EK160" s="117"/>
      <c r="EL160" s="117"/>
      <c r="EM160" s="117"/>
      <c r="EN160" s="117"/>
      <c r="EO160" s="117"/>
      <c r="EP160" s="117"/>
      <c r="EQ160" s="117"/>
      <c r="ER160" s="117"/>
      <c r="ES160" s="117"/>
      <c r="ET160" s="117"/>
      <c r="EU160" s="117"/>
      <c r="EV160" s="117"/>
      <c r="EW160" s="117"/>
      <c r="EX160" s="117"/>
      <c r="EY160" s="117"/>
      <c r="EZ160" s="117"/>
      <c r="FA160" s="117"/>
      <c r="FB160" s="117"/>
      <c r="FC160" s="117"/>
      <c r="FD160" s="117"/>
      <c r="FE160" s="117"/>
      <c r="FF160" s="117"/>
      <c r="FG160" s="117"/>
      <c r="FH160" s="117"/>
      <c r="FI160" s="117"/>
      <c r="FJ160" s="117"/>
      <c r="FK160" s="117"/>
      <c r="FL160" s="117"/>
      <c r="FM160" s="117"/>
      <c r="FN160" s="117"/>
      <c r="FO160" s="117"/>
      <c r="FP160" s="117"/>
      <c r="FQ160" s="117"/>
      <c r="FR160" s="117"/>
      <c r="FS160" s="117"/>
      <c r="FT160" s="117"/>
      <c r="FU160" s="117"/>
      <c r="FV160" s="117"/>
      <c r="FW160" s="117"/>
      <c r="FX160" s="117"/>
      <c r="FY160" s="117"/>
      <c r="FZ160" s="117"/>
      <c r="GA160" s="117"/>
      <c r="GB160" s="117"/>
      <c r="GC160" s="117"/>
      <c r="GD160" s="117"/>
      <c r="GE160" s="117"/>
    </row>
    <row r="161" spans="1:187" s="11" customFormat="1" ht="30.75" hidden="1">
      <c r="A161" s="37" t="s">
        <v>113</v>
      </c>
      <c r="B161" s="33" t="s">
        <v>99</v>
      </c>
      <c r="C161" s="34">
        <v>140</v>
      </c>
      <c r="D161" s="220"/>
      <c r="E161" s="35"/>
      <c r="F161" s="35"/>
      <c r="G161" s="35"/>
      <c r="H161" s="35"/>
      <c r="I161" s="35"/>
      <c r="J161" s="122"/>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7"/>
      <c r="BC161" s="117"/>
      <c r="BD161" s="117"/>
      <c r="BE161" s="117"/>
      <c r="BF161" s="117"/>
      <c r="BG161" s="117"/>
      <c r="BH161" s="117"/>
      <c r="BI161" s="117"/>
      <c r="BJ161" s="117"/>
      <c r="BK161" s="117"/>
      <c r="BL161" s="117"/>
      <c r="BM161" s="117"/>
      <c r="BN161" s="117"/>
      <c r="BO161" s="117"/>
      <c r="BP161" s="117"/>
      <c r="BQ161" s="117"/>
      <c r="BR161" s="117"/>
      <c r="BS161" s="117"/>
      <c r="BT161" s="117"/>
      <c r="BU161" s="117"/>
      <c r="BV161" s="117"/>
      <c r="BW161" s="117"/>
      <c r="BX161" s="117"/>
      <c r="BY161" s="117"/>
      <c r="BZ161" s="117"/>
      <c r="CA161" s="117"/>
      <c r="CB161" s="117"/>
      <c r="CC161" s="117"/>
      <c r="CD161" s="117"/>
      <c r="CE161" s="117"/>
      <c r="CF161" s="117"/>
      <c r="CG161" s="117"/>
      <c r="CH161" s="117"/>
      <c r="CI161" s="117"/>
      <c r="CJ161" s="117"/>
      <c r="CK161" s="117"/>
      <c r="CL161" s="117"/>
      <c r="CM161" s="117"/>
      <c r="CN161" s="117"/>
      <c r="CO161" s="117"/>
      <c r="CP161" s="117"/>
      <c r="CQ161" s="117"/>
      <c r="CR161" s="117"/>
      <c r="CS161" s="117"/>
      <c r="CT161" s="117"/>
      <c r="CU161" s="117"/>
      <c r="CV161" s="117"/>
      <c r="CW161" s="117"/>
      <c r="CX161" s="117"/>
      <c r="CY161" s="117"/>
      <c r="CZ161" s="117"/>
      <c r="DA161" s="117"/>
      <c r="DB161" s="117"/>
      <c r="DC161" s="117"/>
      <c r="DD161" s="117"/>
      <c r="DE161" s="117"/>
      <c r="DF161" s="117"/>
      <c r="DG161" s="117"/>
      <c r="DH161" s="117"/>
      <c r="DI161" s="117"/>
      <c r="DJ161" s="117"/>
      <c r="DK161" s="117"/>
      <c r="DL161" s="117"/>
      <c r="DM161" s="117"/>
      <c r="DN161" s="117"/>
      <c r="DO161" s="117"/>
      <c r="DP161" s="117"/>
      <c r="DQ161" s="117"/>
      <c r="DR161" s="117"/>
      <c r="DS161" s="117"/>
      <c r="DT161" s="117"/>
      <c r="DU161" s="117"/>
      <c r="DV161" s="117"/>
      <c r="DW161" s="117"/>
      <c r="DX161" s="117"/>
      <c r="DY161" s="117"/>
      <c r="DZ161" s="117"/>
      <c r="EA161" s="117"/>
      <c r="EB161" s="117"/>
      <c r="EC161" s="117"/>
      <c r="ED161" s="117"/>
      <c r="EE161" s="117"/>
      <c r="EF161" s="117"/>
      <c r="EG161" s="117"/>
      <c r="EH161" s="117"/>
      <c r="EI161" s="117"/>
      <c r="EJ161" s="117"/>
      <c r="EK161" s="117"/>
      <c r="EL161" s="117"/>
      <c r="EM161" s="117"/>
      <c r="EN161" s="117"/>
      <c r="EO161" s="117"/>
      <c r="EP161" s="117"/>
      <c r="EQ161" s="117"/>
      <c r="ER161" s="117"/>
      <c r="ES161" s="117"/>
      <c r="ET161" s="117"/>
      <c r="EU161" s="117"/>
      <c r="EV161" s="117"/>
      <c r="EW161" s="117"/>
      <c r="EX161" s="117"/>
      <c r="EY161" s="117"/>
      <c r="EZ161" s="117"/>
      <c r="FA161" s="117"/>
      <c r="FB161" s="117"/>
      <c r="FC161" s="117"/>
      <c r="FD161" s="117"/>
      <c r="FE161" s="117"/>
      <c r="FF161" s="117"/>
      <c r="FG161" s="117"/>
      <c r="FH161" s="117"/>
      <c r="FI161" s="117"/>
      <c r="FJ161" s="117"/>
      <c r="FK161" s="117"/>
      <c r="FL161" s="117"/>
      <c r="FM161" s="117"/>
      <c r="FN161" s="117"/>
      <c r="FO161" s="117"/>
      <c r="FP161" s="117"/>
      <c r="FQ161" s="117"/>
      <c r="FR161" s="117"/>
      <c r="FS161" s="117"/>
      <c r="FT161" s="117"/>
      <c r="FU161" s="117"/>
      <c r="FV161" s="117"/>
      <c r="FW161" s="117"/>
      <c r="FX161" s="117"/>
      <c r="FY161" s="117"/>
      <c r="FZ161" s="117"/>
      <c r="GA161" s="117"/>
      <c r="GB161" s="117"/>
      <c r="GC161" s="117"/>
      <c r="GD161" s="117"/>
      <c r="GE161" s="117"/>
    </row>
    <row r="162" spans="1:187" s="11" customFormat="1" ht="39" hidden="1">
      <c r="A162" s="208" t="s">
        <v>289</v>
      </c>
      <c r="B162" s="54" t="s">
        <v>101</v>
      </c>
      <c r="C162" s="29" t="s">
        <v>365</v>
      </c>
      <c r="D162" s="220"/>
      <c r="E162" s="55"/>
      <c r="F162" s="55"/>
      <c r="G162" s="55"/>
      <c r="H162" s="55"/>
      <c r="I162" s="55"/>
      <c r="J162" s="124"/>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c r="BC162" s="117"/>
      <c r="BD162" s="117"/>
      <c r="BE162" s="117"/>
      <c r="BF162" s="117"/>
      <c r="BG162" s="117"/>
      <c r="BH162" s="117"/>
      <c r="BI162" s="117"/>
      <c r="BJ162" s="117"/>
      <c r="BK162" s="117"/>
      <c r="BL162" s="117"/>
      <c r="BM162" s="117"/>
      <c r="BN162" s="117"/>
      <c r="BO162" s="117"/>
      <c r="BP162" s="117"/>
      <c r="BQ162" s="117"/>
      <c r="BR162" s="117"/>
      <c r="BS162" s="117"/>
      <c r="BT162" s="117"/>
      <c r="BU162" s="117"/>
      <c r="BV162" s="117"/>
      <c r="BW162" s="117"/>
      <c r="BX162" s="117"/>
      <c r="BY162" s="117"/>
      <c r="BZ162" s="117"/>
      <c r="CA162" s="117"/>
      <c r="CB162" s="117"/>
      <c r="CC162" s="117"/>
      <c r="CD162" s="117"/>
      <c r="CE162" s="117"/>
      <c r="CF162" s="117"/>
      <c r="CG162" s="117"/>
      <c r="CH162" s="117"/>
      <c r="CI162" s="117"/>
      <c r="CJ162" s="117"/>
      <c r="CK162" s="117"/>
      <c r="CL162" s="117"/>
      <c r="CM162" s="117"/>
      <c r="CN162" s="117"/>
      <c r="CO162" s="117"/>
      <c r="CP162" s="117"/>
      <c r="CQ162" s="117"/>
      <c r="CR162" s="117"/>
      <c r="CS162" s="117"/>
      <c r="CT162" s="117"/>
      <c r="CU162" s="117"/>
      <c r="CV162" s="117"/>
      <c r="CW162" s="117"/>
      <c r="CX162" s="117"/>
      <c r="CY162" s="117"/>
      <c r="CZ162" s="117"/>
      <c r="DA162" s="117"/>
      <c r="DB162" s="117"/>
      <c r="DC162" s="117"/>
      <c r="DD162" s="117"/>
      <c r="DE162" s="117"/>
      <c r="DF162" s="117"/>
      <c r="DG162" s="117"/>
      <c r="DH162" s="117"/>
      <c r="DI162" s="117"/>
      <c r="DJ162" s="117"/>
      <c r="DK162" s="117"/>
      <c r="DL162" s="117"/>
      <c r="DM162" s="117"/>
      <c r="DN162" s="117"/>
      <c r="DO162" s="117"/>
      <c r="DP162" s="117"/>
      <c r="DQ162" s="117"/>
      <c r="DR162" s="117"/>
      <c r="DS162" s="117"/>
      <c r="DT162" s="117"/>
      <c r="DU162" s="117"/>
      <c r="DV162" s="117"/>
      <c r="DW162" s="117"/>
      <c r="DX162" s="117"/>
      <c r="DY162" s="117"/>
      <c r="DZ162" s="117"/>
      <c r="EA162" s="117"/>
      <c r="EB162" s="117"/>
      <c r="EC162" s="117"/>
      <c r="ED162" s="117"/>
      <c r="EE162" s="117"/>
      <c r="EF162" s="117"/>
      <c r="EG162" s="117"/>
      <c r="EH162" s="117"/>
      <c r="EI162" s="117"/>
      <c r="EJ162" s="117"/>
      <c r="EK162" s="117"/>
      <c r="EL162" s="117"/>
      <c r="EM162" s="117"/>
      <c r="EN162" s="117"/>
      <c r="EO162" s="117"/>
      <c r="EP162" s="117"/>
      <c r="EQ162" s="117"/>
      <c r="ER162" s="117"/>
      <c r="ES162" s="117"/>
      <c r="ET162" s="117"/>
      <c r="EU162" s="117"/>
      <c r="EV162" s="117"/>
      <c r="EW162" s="117"/>
      <c r="EX162" s="117"/>
      <c r="EY162" s="117"/>
      <c r="EZ162" s="117"/>
      <c r="FA162" s="117"/>
      <c r="FB162" s="117"/>
      <c r="FC162" s="117"/>
      <c r="FD162" s="117"/>
      <c r="FE162" s="117"/>
      <c r="FF162" s="117"/>
      <c r="FG162" s="117"/>
      <c r="FH162" s="117"/>
      <c r="FI162" s="117"/>
      <c r="FJ162" s="117"/>
      <c r="FK162" s="117"/>
      <c r="FL162" s="117"/>
      <c r="FM162" s="117"/>
      <c r="FN162" s="117"/>
      <c r="FO162" s="117"/>
      <c r="FP162" s="117"/>
      <c r="FQ162" s="117"/>
      <c r="FR162" s="117"/>
      <c r="FS162" s="117"/>
      <c r="FT162" s="117"/>
      <c r="FU162" s="117"/>
      <c r="FV162" s="117"/>
      <c r="FW162" s="117"/>
      <c r="FX162" s="117"/>
      <c r="FY162" s="117"/>
      <c r="FZ162" s="117"/>
      <c r="GA162" s="117"/>
      <c r="GB162" s="117"/>
      <c r="GC162" s="117"/>
      <c r="GD162" s="117"/>
      <c r="GE162" s="117"/>
    </row>
    <row r="163" spans="1:187" s="11" customFormat="1" ht="17.25" customHeight="1">
      <c r="A163" s="37" t="s">
        <v>106</v>
      </c>
      <c r="B163" s="33" t="s">
        <v>102</v>
      </c>
      <c r="C163" s="34">
        <v>150</v>
      </c>
      <c r="D163" s="220">
        <f>SUM(E163:J163)</f>
        <v>1000</v>
      </c>
      <c r="E163" s="35"/>
      <c r="F163" s="35"/>
      <c r="G163" s="35">
        <f>G170+G171</f>
        <v>0</v>
      </c>
      <c r="H163" s="35">
        <f>H172</f>
        <v>1000</v>
      </c>
      <c r="I163" s="35"/>
      <c r="J163" s="122"/>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117"/>
      <c r="BM163" s="117"/>
      <c r="BN163" s="117"/>
      <c r="BO163" s="117"/>
      <c r="BP163" s="117"/>
      <c r="BQ163" s="117"/>
      <c r="BR163" s="117"/>
      <c r="BS163" s="117"/>
      <c r="BT163" s="117"/>
      <c r="BU163" s="117"/>
      <c r="BV163" s="117"/>
      <c r="BW163" s="117"/>
      <c r="BX163" s="117"/>
      <c r="BY163" s="117"/>
      <c r="BZ163" s="117"/>
      <c r="CA163" s="117"/>
      <c r="CB163" s="117"/>
      <c r="CC163" s="117"/>
      <c r="CD163" s="117"/>
      <c r="CE163" s="117"/>
      <c r="CF163" s="117"/>
      <c r="CG163" s="117"/>
      <c r="CH163" s="117"/>
      <c r="CI163" s="117"/>
      <c r="CJ163" s="117"/>
      <c r="CK163" s="117"/>
      <c r="CL163" s="117"/>
      <c r="CM163" s="117"/>
      <c r="CN163" s="117"/>
      <c r="CO163" s="117"/>
      <c r="CP163" s="117"/>
      <c r="CQ163" s="117"/>
      <c r="CR163" s="117"/>
      <c r="CS163" s="117"/>
      <c r="CT163" s="117"/>
      <c r="CU163" s="117"/>
      <c r="CV163" s="117"/>
      <c r="CW163" s="117"/>
      <c r="CX163" s="117"/>
      <c r="CY163" s="117"/>
      <c r="CZ163" s="117"/>
      <c r="DA163" s="117"/>
      <c r="DB163" s="117"/>
      <c r="DC163" s="117"/>
      <c r="DD163" s="117"/>
      <c r="DE163" s="117"/>
      <c r="DF163" s="117"/>
      <c r="DG163" s="117"/>
      <c r="DH163" s="117"/>
      <c r="DI163" s="117"/>
      <c r="DJ163" s="117"/>
      <c r="DK163" s="117"/>
      <c r="DL163" s="117"/>
      <c r="DM163" s="117"/>
      <c r="DN163" s="117"/>
      <c r="DO163" s="117"/>
      <c r="DP163" s="117"/>
      <c r="DQ163" s="117"/>
      <c r="DR163" s="117"/>
      <c r="DS163" s="117"/>
      <c r="DT163" s="117"/>
      <c r="DU163" s="117"/>
      <c r="DV163" s="117"/>
      <c r="DW163" s="117"/>
      <c r="DX163" s="117"/>
      <c r="DY163" s="117"/>
      <c r="DZ163" s="117"/>
      <c r="EA163" s="117"/>
      <c r="EB163" s="117"/>
      <c r="EC163" s="117"/>
      <c r="ED163" s="117"/>
      <c r="EE163" s="117"/>
      <c r="EF163" s="117"/>
      <c r="EG163" s="117"/>
      <c r="EH163" s="117"/>
      <c r="EI163" s="117"/>
      <c r="EJ163" s="117"/>
      <c r="EK163" s="117"/>
      <c r="EL163" s="117"/>
      <c r="EM163" s="117"/>
      <c r="EN163" s="117"/>
      <c r="EO163" s="117"/>
      <c r="EP163" s="117"/>
      <c r="EQ163" s="117"/>
      <c r="ER163" s="117"/>
      <c r="ES163" s="117"/>
      <c r="ET163" s="117"/>
      <c r="EU163" s="117"/>
      <c r="EV163" s="117"/>
      <c r="EW163" s="117"/>
      <c r="EX163" s="117"/>
      <c r="EY163" s="117"/>
      <c r="EZ163" s="117"/>
      <c r="FA163" s="117"/>
      <c r="FB163" s="117"/>
      <c r="FC163" s="117"/>
      <c r="FD163" s="117"/>
      <c r="FE163" s="117"/>
      <c r="FF163" s="117"/>
      <c r="FG163" s="117"/>
      <c r="FH163" s="117"/>
      <c r="FI163" s="117"/>
      <c r="FJ163" s="117"/>
      <c r="FK163" s="117"/>
      <c r="FL163" s="117"/>
      <c r="FM163" s="117"/>
      <c r="FN163" s="117"/>
      <c r="FO163" s="117"/>
      <c r="FP163" s="117"/>
      <c r="FQ163" s="117"/>
      <c r="FR163" s="117"/>
      <c r="FS163" s="117"/>
      <c r="FT163" s="117"/>
      <c r="FU163" s="117"/>
      <c r="FV163" s="117"/>
      <c r="FW163" s="117"/>
      <c r="FX163" s="117"/>
      <c r="FY163" s="117"/>
      <c r="FZ163" s="117"/>
      <c r="GA163" s="117"/>
      <c r="GB163" s="117"/>
      <c r="GC163" s="117"/>
      <c r="GD163" s="117"/>
      <c r="GE163" s="117"/>
    </row>
    <row r="164" spans="1:187" s="11" customFormat="1" ht="15" hidden="1">
      <c r="A164" s="40" t="s">
        <v>294</v>
      </c>
      <c r="B164" s="54" t="s">
        <v>104</v>
      </c>
      <c r="C164" s="29" t="s">
        <v>366</v>
      </c>
      <c r="D164" s="220"/>
      <c r="E164" s="55"/>
      <c r="F164" s="55"/>
      <c r="G164" s="55"/>
      <c r="H164" s="55"/>
      <c r="I164" s="55"/>
      <c r="J164" s="124"/>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c r="AQ164" s="117"/>
      <c r="AR164" s="117"/>
      <c r="AS164" s="117"/>
      <c r="AT164" s="117"/>
      <c r="AU164" s="117"/>
      <c r="AV164" s="117"/>
      <c r="AW164" s="117"/>
      <c r="AX164" s="117"/>
      <c r="AY164" s="117"/>
      <c r="AZ164" s="117"/>
      <c r="BA164" s="117"/>
      <c r="BB164" s="117"/>
      <c r="BC164" s="117"/>
      <c r="BD164" s="117"/>
      <c r="BE164" s="117"/>
      <c r="BF164" s="117"/>
      <c r="BG164" s="117"/>
      <c r="BH164" s="117"/>
      <c r="BI164" s="117"/>
      <c r="BJ164" s="117"/>
      <c r="BK164" s="117"/>
      <c r="BL164" s="117"/>
      <c r="BM164" s="117"/>
      <c r="BN164" s="117"/>
      <c r="BO164" s="117"/>
      <c r="BP164" s="117"/>
      <c r="BQ164" s="117"/>
      <c r="BR164" s="117"/>
      <c r="BS164" s="117"/>
      <c r="BT164" s="117"/>
      <c r="BU164" s="117"/>
      <c r="BV164" s="117"/>
      <c r="BW164" s="117"/>
      <c r="BX164" s="117"/>
      <c r="BY164" s="117"/>
      <c r="BZ164" s="117"/>
      <c r="CA164" s="117"/>
      <c r="CB164" s="117"/>
      <c r="CC164" s="117"/>
      <c r="CD164" s="117"/>
      <c r="CE164" s="117"/>
      <c r="CF164" s="117"/>
      <c r="CG164" s="117"/>
      <c r="CH164" s="117"/>
      <c r="CI164" s="117"/>
      <c r="CJ164" s="117"/>
      <c r="CK164" s="117"/>
      <c r="CL164" s="117"/>
      <c r="CM164" s="117"/>
      <c r="CN164" s="117"/>
      <c r="CO164" s="117"/>
      <c r="CP164" s="117"/>
      <c r="CQ164" s="117"/>
      <c r="CR164" s="117"/>
      <c r="CS164" s="117"/>
      <c r="CT164" s="117"/>
      <c r="CU164" s="117"/>
      <c r="CV164" s="117"/>
      <c r="CW164" s="117"/>
      <c r="CX164" s="117"/>
      <c r="CY164" s="117"/>
      <c r="CZ164" s="117"/>
      <c r="DA164" s="117"/>
      <c r="DB164" s="117"/>
      <c r="DC164" s="117"/>
      <c r="DD164" s="117"/>
      <c r="DE164" s="117"/>
      <c r="DF164" s="117"/>
      <c r="DG164" s="117"/>
      <c r="DH164" s="117"/>
      <c r="DI164" s="117"/>
      <c r="DJ164" s="117"/>
      <c r="DK164" s="117"/>
      <c r="DL164" s="117"/>
      <c r="DM164" s="117"/>
      <c r="DN164" s="117"/>
      <c r="DO164" s="117"/>
      <c r="DP164" s="117"/>
      <c r="DQ164" s="117"/>
      <c r="DR164" s="117"/>
      <c r="DS164" s="117"/>
      <c r="DT164" s="117"/>
      <c r="DU164" s="117"/>
      <c r="DV164" s="117"/>
      <c r="DW164" s="117"/>
      <c r="DX164" s="117"/>
      <c r="DY164" s="117"/>
      <c r="DZ164" s="117"/>
      <c r="EA164" s="117"/>
      <c r="EB164" s="117"/>
      <c r="EC164" s="117"/>
      <c r="ED164" s="117"/>
      <c r="EE164" s="117"/>
      <c r="EF164" s="117"/>
      <c r="EG164" s="117"/>
      <c r="EH164" s="117"/>
      <c r="EI164" s="117"/>
      <c r="EJ164" s="117"/>
      <c r="EK164" s="117"/>
      <c r="EL164" s="117"/>
      <c r="EM164" s="117"/>
      <c r="EN164" s="117"/>
      <c r="EO164" s="117"/>
      <c r="EP164" s="117"/>
      <c r="EQ164" s="117"/>
      <c r="ER164" s="117"/>
      <c r="ES164" s="117"/>
      <c r="ET164" s="117"/>
      <c r="EU164" s="117"/>
      <c r="EV164" s="117"/>
      <c r="EW164" s="117"/>
      <c r="EX164" s="117"/>
      <c r="EY164" s="117"/>
      <c r="EZ164" s="117"/>
      <c r="FA164" s="117"/>
      <c r="FB164" s="117"/>
      <c r="FC164" s="117"/>
      <c r="FD164" s="117"/>
      <c r="FE164" s="117"/>
      <c r="FF164" s="117"/>
      <c r="FG164" s="117"/>
      <c r="FH164" s="117"/>
      <c r="FI164" s="117"/>
      <c r="FJ164" s="117"/>
      <c r="FK164" s="117"/>
      <c r="FL164" s="117"/>
      <c r="FM164" s="117"/>
      <c r="FN164" s="117"/>
      <c r="FO164" s="117"/>
      <c r="FP164" s="117"/>
      <c r="FQ164" s="117"/>
      <c r="FR164" s="117"/>
      <c r="FS164" s="117"/>
      <c r="FT164" s="117"/>
      <c r="FU164" s="117"/>
      <c r="FV164" s="117"/>
      <c r="FW164" s="117"/>
      <c r="FX164" s="117"/>
      <c r="FY164" s="117"/>
      <c r="FZ164" s="117"/>
      <c r="GA164" s="117"/>
      <c r="GB164" s="117"/>
      <c r="GC164" s="117"/>
      <c r="GD164" s="117"/>
      <c r="GE164" s="117"/>
    </row>
    <row r="165" spans="1:187" s="11" customFormat="1" ht="15" hidden="1">
      <c r="A165" s="40" t="s">
        <v>300</v>
      </c>
      <c r="B165" s="54"/>
      <c r="C165" s="29" t="s">
        <v>366</v>
      </c>
      <c r="D165" s="220"/>
      <c r="E165" s="55"/>
      <c r="F165" s="55"/>
      <c r="G165" s="55"/>
      <c r="H165" s="55"/>
      <c r="I165" s="55"/>
      <c r="J165" s="124"/>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R165" s="117"/>
      <c r="BS165" s="117"/>
      <c r="BT165" s="117"/>
      <c r="BU165" s="117"/>
      <c r="BV165" s="117"/>
      <c r="BW165" s="117"/>
      <c r="BX165" s="117"/>
      <c r="BY165" s="117"/>
      <c r="BZ165" s="117"/>
      <c r="CA165" s="117"/>
      <c r="CB165" s="117"/>
      <c r="CC165" s="117"/>
      <c r="CD165" s="117"/>
      <c r="CE165" s="117"/>
      <c r="CF165" s="117"/>
      <c r="CG165" s="117"/>
      <c r="CH165" s="117"/>
      <c r="CI165" s="117"/>
      <c r="CJ165" s="117"/>
      <c r="CK165" s="117"/>
      <c r="CL165" s="117"/>
      <c r="CM165" s="117"/>
      <c r="CN165" s="117"/>
      <c r="CO165" s="117"/>
      <c r="CP165" s="117"/>
      <c r="CQ165" s="117"/>
      <c r="CR165" s="117"/>
      <c r="CS165" s="117"/>
      <c r="CT165" s="117"/>
      <c r="CU165" s="117"/>
      <c r="CV165" s="117"/>
      <c r="CW165" s="117"/>
      <c r="CX165" s="117"/>
      <c r="CY165" s="117"/>
      <c r="CZ165" s="117"/>
      <c r="DA165" s="117"/>
      <c r="DB165" s="117"/>
      <c r="DC165" s="117"/>
      <c r="DD165" s="117"/>
      <c r="DE165" s="117"/>
      <c r="DF165" s="117"/>
      <c r="DG165" s="117"/>
      <c r="DH165" s="117"/>
      <c r="DI165" s="117"/>
      <c r="DJ165" s="117"/>
      <c r="DK165" s="117"/>
      <c r="DL165" s="117"/>
      <c r="DM165" s="117"/>
      <c r="DN165" s="117"/>
      <c r="DO165" s="117"/>
      <c r="DP165" s="117"/>
      <c r="DQ165" s="117"/>
      <c r="DR165" s="117"/>
      <c r="DS165" s="117"/>
      <c r="DT165" s="117"/>
      <c r="DU165" s="117"/>
      <c r="DV165" s="117"/>
      <c r="DW165" s="117"/>
      <c r="DX165" s="117"/>
      <c r="DY165" s="117"/>
      <c r="DZ165" s="117"/>
      <c r="EA165" s="117"/>
      <c r="EB165" s="117"/>
      <c r="EC165" s="117"/>
      <c r="ED165" s="117"/>
      <c r="EE165" s="117"/>
      <c r="EF165" s="117"/>
      <c r="EG165" s="117"/>
      <c r="EH165" s="117"/>
      <c r="EI165" s="117"/>
      <c r="EJ165" s="117"/>
      <c r="EK165" s="117"/>
      <c r="EL165" s="117"/>
      <c r="EM165" s="117"/>
      <c r="EN165" s="117"/>
      <c r="EO165" s="117"/>
      <c r="EP165" s="117"/>
      <c r="EQ165" s="117"/>
      <c r="ER165" s="117"/>
      <c r="ES165" s="117"/>
      <c r="ET165" s="117"/>
      <c r="EU165" s="117"/>
      <c r="EV165" s="117"/>
      <c r="EW165" s="117"/>
      <c r="EX165" s="117"/>
      <c r="EY165" s="117"/>
      <c r="EZ165" s="117"/>
      <c r="FA165" s="117"/>
      <c r="FB165" s="117"/>
      <c r="FC165" s="117"/>
      <c r="FD165" s="117"/>
      <c r="FE165" s="117"/>
      <c r="FF165" s="117"/>
      <c r="FG165" s="117"/>
      <c r="FH165" s="117"/>
      <c r="FI165" s="117"/>
      <c r="FJ165" s="117"/>
      <c r="FK165" s="117"/>
      <c r="FL165" s="117"/>
      <c r="FM165" s="117"/>
      <c r="FN165" s="117"/>
      <c r="FO165" s="117"/>
      <c r="FP165" s="117"/>
      <c r="FQ165" s="117"/>
      <c r="FR165" s="117"/>
      <c r="FS165" s="117"/>
      <c r="FT165" s="117"/>
      <c r="FU165" s="117"/>
      <c r="FV165" s="117"/>
      <c r="FW165" s="117"/>
      <c r="FX165" s="117"/>
      <c r="FY165" s="117"/>
      <c r="FZ165" s="117"/>
      <c r="GA165" s="117"/>
      <c r="GB165" s="117"/>
      <c r="GC165" s="117"/>
      <c r="GD165" s="117"/>
      <c r="GE165" s="117"/>
    </row>
    <row r="166" spans="1:187" s="11" customFormat="1" ht="15" hidden="1">
      <c r="A166" s="40" t="s">
        <v>172</v>
      </c>
      <c r="B166" s="54"/>
      <c r="C166" s="29" t="s">
        <v>366</v>
      </c>
      <c r="D166" s="220"/>
      <c r="E166" s="55"/>
      <c r="F166" s="55"/>
      <c r="G166" s="55"/>
      <c r="H166" s="55"/>
      <c r="I166" s="55"/>
      <c r="J166" s="124"/>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c r="BR166" s="117"/>
      <c r="BS166" s="117"/>
      <c r="BT166" s="117"/>
      <c r="BU166" s="117"/>
      <c r="BV166" s="117"/>
      <c r="BW166" s="117"/>
      <c r="BX166" s="117"/>
      <c r="BY166" s="117"/>
      <c r="BZ166" s="117"/>
      <c r="CA166" s="117"/>
      <c r="CB166" s="117"/>
      <c r="CC166" s="117"/>
      <c r="CD166" s="117"/>
      <c r="CE166" s="117"/>
      <c r="CF166" s="117"/>
      <c r="CG166" s="117"/>
      <c r="CH166" s="117"/>
      <c r="CI166" s="117"/>
      <c r="CJ166" s="117"/>
      <c r="CK166" s="117"/>
      <c r="CL166" s="117"/>
      <c r="CM166" s="117"/>
      <c r="CN166" s="117"/>
      <c r="CO166" s="117"/>
      <c r="CP166" s="117"/>
      <c r="CQ166" s="117"/>
      <c r="CR166" s="117"/>
      <c r="CS166" s="117"/>
      <c r="CT166" s="117"/>
      <c r="CU166" s="117"/>
      <c r="CV166" s="117"/>
      <c r="CW166" s="117"/>
      <c r="CX166" s="117"/>
      <c r="CY166" s="117"/>
      <c r="CZ166" s="117"/>
      <c r="DA166" s="117"/>
      <c r="DB166" s="117"/>
      <c r="DC166" s="117"/>
      <c r="DD166" s="117"/>
      <c r="DE166" s="117"/>
      <c r="DF166" s="117"/>
      <c r="DG166" s="117"/>
      <c r="DH166" s="117"/>
      <c r="DI166" s="117"/>
      <c r="DJ166" s="117"/>
      <c r="DK166" s="117"/>
      <c r="DL166" s="117"/>
      <c r="DM166" s="117"/>
      <c r="DN166" s="117"/>
      <c r="DO166" s="117"/>
      <c r="DP166" s="117"/>
      <c r="DQ166" s="117"/>
      <c r="DR166" s="117"/>
      <c r="DS166" s="117"/>
      <c r="DT166" s="117"/>
      <c r="DU166" s="117"/>
      <c r="DV166" s="117"/>
      <c r="DW166" s="117"/>
      <c r="DX166" s="117"/>
      <c r="DY166" s="117"/>
      <c r="DZ166" s="117"/>
      <c r="EA166" s="117"/>
      <c r="EB166" s="117"/>
      <c r="EC166" s="117"/>
      <c r="ED166" s="117"/>
      <c r="EE166" s="117"/>
      <c r="EF166" s="117"/>
      <c r="EG166" s="117"/>
      <c r="EH166" s="117"/>
      <c r="EI166" s="117"/>
      <c r="EJ166" s="117"/>
      <c r="EK166" s="117"/>
      <c r="EL166" s="117"/>
      <c r="EM166" s="117"/>
      <c r="EN166" s="117"/>
      <c r="EO166" s="117"/>
      <c r="EP166" s="117"/>
      <c r="EQ166" s="117"/>
      <c r="ER166" s="117"/>
      <c r="ES166" s="117"/>
      <c r="ET166" s="117"/>
      <c r="EU166" s="117"/>
      <c r="EV166" s="117"/>
      <c r="EW166" s="117"/>
      <c r="EX166" s="117"/>
      <c r="EY166" s="117"/>
      <c r="EZ166" s="117"/>
      <c r="FA166" s="117"/>
      <c r="FB166" s="117"/>
      <c r="FC166" s="117"/>
      <c r="FD166" s="117"/>
      <c r="FE166" s="117"/>
      <c r="FF166" s="117"/>
      <c r="FG166" s="117"/>
      <c r="FH166" s="117"/>
      <c r="FI166" s="117"/>
      <c r="FJ166" s="117"/>
      <c r="FK166" s="117"/>
      <c r="FL166" s="117"/>
      <c r="FM166" s="117"/>
      <c r="FN166" s="117"/>
      <c r="FO166" s="117"/>
      <c r="FP166" s="117"/>
      <c r="FQ166" s="117"/>
      <c r="FR166" s="117"/>
      <c r="FS166" s="117"/>
      <c r="FT166" s="117"/>
      <c r="FU166" s="117"/>
      <c r="FV166" s="117"/>
      <c r="FW166" s="117"/>
      <c r="FX166" s="117"/>
      <c r="FY166" s="117"/>
      <c r="FZ166" s="117"/>
      <c r="GA166" s="117"/>
      <c r="GB166" s="117"/>
      <c r="GC166" s="117"/>
      <c r="GD166" s="117"/>
      <c r="GE166" s="117"/>
    </row>
    <row r="167" spans="1:187" s="11" customFormat="1" ht="15" hidden="1">
      <c r="A167" s="40" t="s">
        <v>290</v>
      </c>
      <c r="B167" s="54" t="s">
        <v>107</v>
      </c>
      <c r="C167" s="29" t="s">
        <v>366</v>
      </c>
      <c r="D167" s="220"/>
      <c r="E167" s="55"/>
      <c r="F167" s="55"/>
      <c r="G167" s="55"/>
      <c r="H167" s="55"/>
      <c r="I167" s="55"/>
      <c r="J167" s="124"/>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7"/>
      <c r="BQ167" s="117"/>
      <c r="BR167" s="117"/>
      <c r="BS167" s="117"/>
      <c r="BT167" s="117"/>
      <c r="BU167" s="117"/>
      <c r="BV167" s="117"/>
      <c r="BW167" s="117"/>
      <c r="BX167" s="117"/>
      <c r="BY167" s="117"/>
      <c r="BZ167" s="117"/>
      <c r="CA167" s="117"/>
      <c r="CB167" s="117"/>
      <c r="CC167" s="117"/>
      <c r="CD167" s="117"/>
      <c r="CE167" s="117"/>
      <c r="CF167" s="117"/>
      <c r="CG167" s="117"/>
      <c r="CH167" s="117"/>
      <c r="CI167" s="117"/>
      <c r="CJ167" s="117"/>
      <c r="CK167" s="117"/>
      <c r="CL167" s="117"/>
      <c r="CM167" s="117"/>
      <c r="CN167" s="117"/>
      <c r="CO167" s="117"/>
      <c r="CP167" s="117"/>
      <c r="CQ167" s="117"/>
      <c r="CR167" s="117"/>
      <c r="CS167" s="117"/>
      <c r="CT167" s="117"/>
      <c r="CU167" s="117"/>
      <c r="CV167" s="117"/>
      <c r="CW167" s="117"/>
      <c r="CX167" s="117"/>
      <c r="CY167" s="117"/>
      <c r="CZ167" s="117"/>
      <c r="DA167" s="117"/>
      <c r="DB167" s="117"/>
      <c r="DC167" s="117"/>
      <c r="DD167" s="117"/>
      <c r="DE167" s="117"/>
      <c r="DF167" s="117"/>
      <c r="DG167" s="117"/>
      <c r="DH167" s="117"/>
      <c r="DI167" s="117"/>
      <c r="DJ167" s="117"/>
      <c r="DK167" s="117"/>
      <c r="DL167" s="117"/>
      <c r="DM167" s="117"/>
      <c r="DN167" s="117"/>
      <c r="DO167" s="117"/>
      <c r="DP167" s="117"/>
      <c r="DQ167" s="117"/>
      <c r="DR167" s="117"/>
      <c r="DS167" s="117"/>
      <c r="DT167" s="117"/>
      <c r="DU167" s="117"/>
      <c r="DV167" s="117"/>
      <c r="DW167" s="117"/>
      <c r="DX167" s="117"/>
      <c r="DY167" s="117"/>
      <c r="DZ167" s="117"/>
      <c r="EA167" s="117"/>
      <c r="EB167" s="117"/>
      <c r="EC167" s="117"/>
      <c r="ED167" s="117"/>
      <c r="EE167" s="117"/>
      <c r="EF167" s="117"/>
      <c r="EG167" s="117"/>
      <c r="EH167" s="117"/>
      <c r="EI167" s="117"/>
      <c r="EJ167" s="117"/>
      <c r="EK167" s="117"/>
      <c r="EL167" s="117"/>
      <c r="EM167" s="117"/>
      <c r="EN167" s="117"/>
      <c r="EO167" s="117"/>
      <c r="EP167" s="117"/>
      <c r="EQ167" s="117"/>
      <c r="ER167" s="117"/>
      <c r="ES167" s="117"/>
      <c r="ET167" s="117"/>
      <c r="EU167" s="117"/>
      <c r="EV167" s="117"/>
      <c r="EW167" s="117"/>
      <c r="EX167" s="117"/>
      <c r="EY167" s="117"/>
      <c r="EZ167" s="117"/>
      <c r="FA167" s="117"/>
      <c r="FB167" s="117"/>
      <c r="FC167" s="117"/>
      <c r="FD167" s="117"/>
      <c r="FE167" s="117"/>
      <c r="FF167" s="117"/>
      <c r="FG167" s="117"/>
      <c r="FH167" s="117"/>
      <c r="FI167" s="117"/>
      <c r="FJ167" s="117"/>
      <c r="FK167" s="117"/>
      <c r="FL167" s="117"/>
      <c r="FM167" s="117"/>
      <c r="FN167" s="117"/>
      <c r="FO167" s="117"/>
      <c r="FP167" s="117"/>
      <c r="FQ167" s="117"/>
      <c r="FR167" s="117"/>
      <c r="FS167" s="117"/>
      <c r="FT167" s="117"/>
      <c r="FU167" s="117"/>
      <c r="FV167" s="117"/>
      <c r="FW167" s="117"/>
      <c r="FX167" s="117"/>
      <c r="FY167" s="117"/>
      <c r="FZ167" s="117"/>
      <c r="GA167" s="117"/>
      <c r="GB167" s="117"/>
      <c r="GC167" s="117"/>
      <c r="GD167" s="117"/>
      <c r="GE167" s="117"/>
    </row>
    <row r="168" spans="1:187" s="60" customFormat="1" ht="16.5" customHeight="1" hidden="1">
      <c r="A168" s="40" t="s">
        <v>525</v>
      </c>
      <c r="B168" s="54"/>
      <c r="C168" s="29" t="s">
        <v>454</v>
      </c>
      <c r="D168" s="220"/>
      <c r="E168" s="55"/>
      <c r="F168" s="55"/>
      <c r="G168" s="55"/>
      <c r="H168" s="55"/>
      <c r="I168" s="55"/>
      <c r="J168" s="124"/>
      <c r="K168" s="107"/>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3"/>
      <c r="DE168" s="103"/>
      <c r="DF168" s="103"/>
      <c r="DG168" s="103"/>
      <c r="DH168" s="103"/>
      <c r="DI168" s="103"/>
      <c r="DJ168" s="103"/>
      <c r="DK168" s="103"/>
      <c r="DL168" s="103"/>
      <c r="DM168" s="103"/>
      <c r="DN168" s="103"/>
      <c r="DO168" s="103"/>
      <c r="DP168" s="103"/>
      <c r="DQ168" s="103"/>
      <c r="DR168" s="103"/>
      <c r="DS168" s="103"/>
      <c r="DT168" s="103"/>
      <c r="DU168" s="103"/>
      <c r="DV168" s="103"/>
      <c r="DW168" s="103"/>
      <c r="DX168" s="103"/>
      <c r="DY168" s="103"/>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c r="ET168" s="103"/>
      <c r="EU168" s="103"/>
      <c r="EV168" s="103"/>
      <c r="EW168" s="103"/>
      <c r="EX168" s="103"/>
      <c r="EY168" s="103"/>
      <c r="EZ168" s="103"/>
      <c r="FA168" s="103"/>
      <c r="FB168" s="103"/>
      <c r="FC168" s="103"/>
      <c r="FD168" s="103"/>
      <c r="FE168" s="103"/>
      <c r="FF168" s="103"/>
      <c r="FG168" s="103"/>
      <c r="FH168" s="103"/>
      <c r="FI168" s="103"/>
      <c r="FJ168" s="103"/>
      <c r="FK168" s="103"/>
      <c r="FL168" s="103"/>
      <c r="FM168" s="103"/>
      <c r="FN168" s="103"/>
      <c r="FO168" s="103"/>
      <c r="FP168" s="103"/>
      <c r="FQ168" s="103"/>
      <c r="FR168" s="103"/>
      <c r="FS168" s="103"/>
      <c r="FT168" s="103"/>
      <c r="FU168" s="103"/>
      <c r="FV168" s="103"/>
      <c r="FW168" s="103"/>
      <c r="FX168" s="103"/>
      <c r="FY168" s="103"/>
      <c r="FZ168" s="103"/>
      <c r="GA168" s="103"/>
      <c r="GB168" s="103"/>
      <c r="GC168" s="103"/>
      <c r="GD168" s="103"/>
      <c r="GE168" s="103"/>
    </row>
    <row r="169" spans="1:187" s="60" customFormat="1" ht="29.25" customHeight="1">
      <c r="A169" s="40" t="s">
        <v>751</v>
      </c>
      <c r="B169" s="54" t="s">
        <v>716</v>
      </c>
      <c r="C169" s="29" t="s">
        <v>366</v>
      </c>
      <c r="D169" s="220">
        <f>G169</f>
        <v>0</v>
      </c>
      <c r="E169" s="55"/>
      <c r="F169" s="55"/>
      <c r="G169" s="55">
        <f>G180</f>
        <v>0</v>
      </c>
      <c r="H169" s="55"/>
      <c r="I169" s="55"/>
      <c r="J169" s="124"/>
      <c r="K169" s="107"/>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3"/>
      <c r="DA169" s="103"/>
      <c r="DB169" s="103"/>
      <c r="DC169" s="103"/>
      <c r="DD169" s="103"/>
      <c r="DE169" s="103"/>
      <c r="DF169" s="103"/>
      <c r="DG169" s="103"/>
      <c r="DH169" s="103"/>
      <c r="DI169" s="103"/>
      <c r="DJ169" s="103"/>
      <c r="DK169" s="103"/>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c r="FC169" s="103"/>
      <c r="FD169" s="103"/>
      <c r="FE169" s="103"/>
      <c r="FF169" s="103"/>
      <c r="FG169" s="103"/>
      <c r="FH169" s="103"/>
      <c r="FI169" s="103"/>
      <c r="FJ169" s="103"/>
      <c r="FK169" s="103"/>
      <c r="FL169" s="103"/>
      <c r="FM169" s="103"/>
      <c r="FN169" s="103"/>
      <c r="FO169" s="103"/>
      <c r="FP169" s="103"/>
      <c r="FQ169" s="103"/>
      <c r="FR169" s="103"/>
      <c r="FS169" s="103"/>
      <c r="FT169" s="103"/>
      <c r="FU169" s="103"/>
      <c r="FV169" s="103"/>
      <c r="FW169" s="103"/>
      <c r="FX169" s="103"/>
      <c r="FY169" s="103"/>
      <c r="FZ169" s="103"/>
      <c r="GA169" s="103"/>
      <c r="GB169" s="103"/>
      <c r="GC169" s="103"/>
      <c r="GD169" s="103"/>
      <c r="GE169" s="103"/>
    </row>
    <row r="170" spans="1:187" s="60" customFormat="1" ht="16.5" customHeight="1">
      <c r="A170" s="40" t="s">
        <v>679</v>
      </c>
      <c r="B170" s="54" t="s">
        <v>717</v>
      </c>
      <c r="C170" s="29" t="s">
        <v>366</v>
      </c>
      <c r="D170" s="220">
        <f>G170</f>
        <v>0</v>
      </c>
      <c r="E170" s="55"/>
      <c r="F170" s="55"/>
      <c r="G170" s="55">
        <f>G181</f>
        <v>0</v>
      </c>
      <c r="H170" s="55"/>
      <c r="I170" s="55"/>
      <c r="J170" s="124"/>
      <c r="K170" s="107"/>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03"/>
      <c r="DB170" s="103"/>
      <c r="DC170" s="103"/>
      <c r="DD170" s="103"/>
      <c r="DE170" s="103"/>
      <c r="DF170" s="103"/>
      <c r="DG170" s="103"/>
      <c r="DH170" s="103"/>
      <c r="DI170" s="103"/>
      <c r="DJ170" s="103"/>
      <c r="DK170" s="103"/>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c r="EV170" s="103"/>
      <c r="EW170" s="103"/>
      <c r="EX170" s="103"/>
      <c r="EY170" s="103"/>
      <c r="EZ170" s="103"/>
      <c r="FA170" s="103"/>
      <c r="FB170" s="103"/>
      <c r="FC170" s="103"/>
      <c r="FD170" s="103"/>
      <c r="FE170" s="103"/>
      <c r="FF170" s="103"/>
      <c r="FG170" s="103"/>
      <c r="FH170" s="103"/>
      <c r="FI170" s="103"/>
      <c r="FJ170" s="103"/>
      <c r="FK170" s="103"/>
      <c r="FL170" s="103"/>
      <c r="FM170" s="103"/>
      <c r="FN170" s="103"/>
      <c r="FO170" s="103"/>
      <c r="FP170" s="103"/>
      <c r="FQ170" s="103"/>
      <c r="FR170" s="103"/>
      <c r="FS170" s="103"/>
      <c r="FT170" s="103"/>
      <c r="FU170" s="103"/>
      <c r="FV170" s="103"/>
      <c r="FW170" s="103"/>
      <c r="FX170" s="103"/>
      <c r="FY170" s="103"/>
      <c r="FZ170" s="103"/>
      <c r="GA170" s="103"/>
      <c r="GB170" s="103"/>
      <c r="GC170" s="103"/>
      <c r="GD170" s="103"/>
      <c r="GE170" s="103"/>
    </row>
    <row r="171" spans="1:187" s="60" customFormat="1" ht="16.5" customHeight="1">
      <c r="A171" s="40" t="s">
        <v>680</v>
      </c>
      <c r="B171" s="54" t="s">
        <v>718</v>
      </c>
      <c r="C171" s="29" t="s">
        <v>366</v>
      </c>
      <c r="D171" s="220">
        <f>G171</f>
        <v>0</v>
      </c>
      <c r="E171" s="55"/>
      <c r="F171" s="55"/>
      <c r="G171" s="55">
        <f>G223</f>
        <v>0</v>
      </c>
      <c r="H171" s="55"/>
      <c r="I171" s="55"/>
      <c r="J171" s="124"/>
      <c r="K171" s="107"/>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03"/>
      <c r="DB171" s="103"/>
      <c r="DC171" s="103"/>
      <c r="DD171" s="103"/>
      <c r="DE171" s="103"/>
      <c r="DF171" s="103"/>
      <c r="DG171" s="103"/>
      <c r="DH171" s="103"/>
      <c r="DI171" s="103"/>
      <c r="DJ171" s="103"/>
      <c r="DK171" s="103"/>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c r="EV171" s="103"/>
      <c r="EW171" s="103"/>
      <c r="EX171" s="103"/>
      <c r="EY171" s="103"/>
      <c r="EZ171" s="103"/>
      <c r="FA171" s="103"/>
      <c r="FB171" s="103"/>
      <c r="FC171" s="103"/>
      <c r="FD171" s="103"/>
      <c r="FE171" s="103"/>
      <c r="FF171" s="103"/>
      <c r="FG171" s="103"/>
      <c r="FH171" s="103"/>
      <c r="FI171" s="103"/>
      <c r="FJ171" s="103"/>
      <c r="FK171" s="103"/>
      <c r="FL171" s="103"/>
      <c r="FM171" s="103"/>
      <c r="FN171" s="103"/>
      <c r="FO171" s="103"/>
      <c r="FP171" s="103"/>
      <c r="FQ171" s="103"/>
      <c r="FR171" s="103"/>
      <c r="FS171" s="103"/>
      <c r="FT171" s="103"/>
      <c r="FU171" s="103"/>
      <c r="FV171" s="103"/>
      <c r="FW171" s="103"/>
      <c r="FX171" s="103"/>
      <c r="FY171" s="103"/>
      <c r="FZ171" s="103"/>
      <c r="GA171" s="103"/>
      <c r="GB171" s="103"/>
      <c r="GC171" s="103"/>
      <c r="GD171" s="103"/>
      <c r="GE171" s="103"/>
    </row>
    <row r="172" spans="1:187" s="11" customFormat="1" ht="15">
      <c r="A172" s="40" t="s">
        <v>291</v>
      </c>
      <c r="B172" s="54" t="s">
        <v>724</v>
      </c>
      <c r="C172" s="29" t="s">
        <v>366</v>
      </c>
      <c r="D172" s="220">
        <f>SUM(E172:J172)</f>
        <v>1000</v>
      </c>
      <c r="E172" s="55"/>
      <c r="F172" s="55"/>
      <c r="G172" s="55"/>
      <c r="H172" s="55">
        <v>1000</v>
      </c>
      <c r="I172" s="55"/>
      <c r="J172" s="124"/>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c r="BJ172" s="117"/>
      <c r="BK172" s="117"/>
      <c r="BL172" s="117"/>
      <c r="BM172" s="117"/>
      <c r="BN172" s="117"/>
      <c r="BO172" s="117"/>
      <c r="BP172" s="117"/>
      <c r="BQ172" s="117"/>
      <c r="BR172" s="117"/>
      <c r="BS172" s="117"/>
      <c r="BT172" s="117"/>
      <c r="BU172" s="117"/>
      <c r="BV172" s="117"/>
      <c r="BW172" s="117"/>
      <c r="BX172" s="117"/>
      <c r="BY172" s="117"/>
      <c r="BZ172" s="117"/>
      <c r="CA172" s="117"/>
      <c r="CB172" s="117"/>
      <c r="CC172" s="117"/>
      <c r="CD172" s="117"/>
      <c r="CE172" s="117"/>
      <c r="CF172" s="117"/>
      <c r="CG172" s="117"/>
      <c r="CH172" s="117"/>
      <c r="CI172" s="117"/>
      <c r="CJ172" s="117"/>
      <c r="CK172" s="117"/>
      <c r="CL172" s="117"/>
      <c r="CM172" s="117"/>
      <c r="CN172" s="117"/>
      <c r="CO172" s="117"/>
      <c r="CP172" s="117"/>
      <c r="CQ172" s="117"/>
      <c r="CR172" s="117"/>
      <c r="CS172" s="117"/>
      <c r="CT172" s="117"/>
      <c r="CU172" s="117"/>
      <c r="CV172" s="117"/>
      <c r="CW172" s="117"/>
      <c r="CX172" s="117"/>
      <c r="CY172" s="117"/>
      <c r="CZ172" s="117"/>
      <c r="DA172" s="117"/>
      <c r="DB172" s="117"/>
      <c r="DC172" s="117"/>
      <c r="DD172" s="117"/>
      <c r="DE172" s="117"/>
      <c r="DF172" s="117"/>
      <c r="DG172" s="117"/>
      <c r="DH172" s="117"/>
      <c r="DI172" s="117"/>
      <c r="DJ172" s="117"/>
      <c r="DK172" s="117"/>
      <c r="DL172" s="117"/>
      <c r="DM172" s="117"/>
      <c r="DN172" s="117"/>
      <c r="DO172" s="117"/>
      <c r="DP172" s="117"/>
      <c r="DQ172" s="117"/>
      <c r="DR172" s="117"/>
      <c r="DS172" s="117"/>
      <c r="DT172" s="117"/>
      <c r="DU172" s="117"/>
      <c r="DV172" s="117"/>
      <c r="DW172" s="117"/>
      <c r="DX172" s="117"/>
      <c r="DY172" s="117"/>
      <c r="DZ172" s="117"/>
      <c r="EA172" s="117"/>
      <c r="EB172" s="117"/>
      <c r="EC172" s="117"/>
      <c r="ED172" s="117"/>
      <c r="EE172" s="117"/>
      <c r="EF172" s="117"/>
      <c r="EG172" s="117"/>
      <c r="EH172" s="117"/>
      <c r="EI172" s="117"/>
      <c r="EJ172" s="117"/>
      <c r="EK172" s="117"/>
      <c r="EL172" s="117"/>
      <c r="EM172" s="117"/>
      <c r="EN172" s="117"/>
      <c r="EO172" s="117"/>
      <c r="EP172" s="117"/>
      <c r="EQ172" s="117"/>
      <c r="ER172" s="117"/>
      <c r="ES172" s="117"/>
      <c r="ET172" s="117"/>
      <c r="EU172" s="117"/>
      <c r="EV172" s="117"/>
      <c r="EW172" s="117"/>
      <c r="EX172" s="117"/>
      <c r="EY172" s="117"/>
      <c r="EZ172" s="117"/>
      <c r="FA172" s="117"/>
      <c r="FB172" s="117"/>
      <c r="FC172" s="117"/>
      <c r="FD172" s="117"/>
      <c r="FE172" s="117"/>
      <c r="FF172" s="117"/>
      <c r="FG172" s="117"/>
      <c r="FH172" s="117"/>
      <c r="FI172" s="117"/>
      <c r="FJ172" s="117"/>
      <c r="FK172" s="117"/>
      <c r="FL172" s="117"/>
      <c r="FM172" s="117"/>
      <c r="FN172" s="117"/>
      <c r="FO172" s="117"/>
      <c r="FP172" s="117"/>
      <c r="FQ172" s="117"/>
      <c r="FR172" s="117"/>
      <c r="FS172" s="117"/>
      <c r="FT172" s="117"/>
      <c r="FU172" s="117"/>
      <c r="FV172" s="117"/>
      <c r="FW172" s="117"/>
      <c r="FX172" s="117"/>
      <c r="FY172" s="117"/>
      <c r="FZ172" s="117"/>
      <c r="GA172" s="117"/>
      <c r="GB172" s="117"/>
      <c r="GC172" s="117"/>
      <c r="GD172" s="117"/>
      <c r="GE172" s="117"/>
    </row>
    <row r="173" spans="1:187" s="11" customFormat="1" ht="15">
      <c r="A173" s="37" t="s">
        <v>105</v>
      </c>
      <c r="B173" s="33" t="s">
        <v>103</v>
      </c>
      <c r="C173" s="34">
        <v>180</v>
      </c>
      <c r="D173" s="220"/>
      <c r="E173" s="35"/>
      <c r="F173" s="35"/>
      <c r="G173" s="35"/>
      <c r="H173" s="35"/>
      <c r="I173" s="35"/>
      <c r="J173" s="122"/>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c r="BR173" s="117"/>
      <c r="BS173" s="117"/>
      <c r="BT173" s="117"/>
      <c r="BU173" s="117"/>
      <c r="BV173" s="117"/>
      <c r="BW173" s="117"/>
      <c r="BX173" s="117"/>
      <c r="BY173" s="117"/>
      <c r="BZ173" s="117"/>
      <c r="CA173" s="117"/>
      <c r="CB173" s="117"/>
      <c r="CC173" s="117"/>
      <c r="CD173" s="117"/>
      <c r="CE173" s="117"/>
      <c r="CF173" s="117"/>
      <c r="CG173" s="117"/>
      <c r="CH173" s="117"/>
      <c r="CI173" s="117"/>
      <c r="CJ173" s="117"/>
      <c r="CK173" s="117"/>
      <c r="CL173" s="117"/>
      <c r="CM173" s="117"/>
      <c r="CN173" s="117"/>
      <c r="CO173" s="117"/>
      <c r="CP173" s="117"/>
      <c r="CQ173" s="117"/>
      <c r="CR173" s="117"/>
      <c r="CS173" s="117"/>
      <c r="CT173" s="117"/>
      <c r="CU173" s="117"/>
      <c r="CV173" s="117"/>
      <c r="CW173" s="117"/>
      <c r="CX173" s="117"/>
      <c r="CY173" s="117"/>
      <c r="CZ173" s="117"/>
      <c r="DA173" s="117"/>
      <c r="DB173" s="117"/>
      <c r="DC173" s="117"/>
      <c r="DD173" s="117"/>
      <c r="DE173" s="117"/>
      <c r="DF173" s="117"/>
      <c r="DG173" s="117"/>
      <c r="DH173" s="117"/>
      <c r="DI173" s="117"/>
      <c r="DJ173" s="117"/>
      <c r="DK173" s="117"/>
      <c r="DL173" s="117"/>
      <c r="DM173" s="117"/>
      <c r="DN173" s="117"/>
      <c r="DO173" s="117"/>
      <c r="DP173" s="117"/>
      <c r="DQ173" s="117"/>
      <c r="DR173" s="117"/>
      <c r="DS173" s="117"/>
      <c r="DT173" s="117"/>
      <c r="DU173" s="117"/>
      <c r="DV173" s="117"/>
      <c r="DW173" s="117"/>
      <c r="DX173" s="117"/>
      <c r="DY173" s="117"/>
      <c r="DZ173" s="117"/>
      <c r="EA173" s="117"/>
      <c r="EB173" s="117"/>
      <c r="EC173" s="117"/>
      <c r="ED173" s="117"/>
      <c r="EE173" s="117"/>
      <c r="EF173" s="117"/>
      <c r="EG173" s="117"/>
      <c r="EH173" s="117"/>
      <c r="EI173" s="117"/>
      <c r="EJ173" s="117"/>
      <c r="EK173" s="117"/>
      <c r="EL173" s="117"/>
      <c r="EM173" s="117"/>
      <c r="EN173" s="117"/>
      <c r="EO173" s="117"/>
      <c r="EP173" s="117"/>
      <c r="EQ173" s="117"/>
      <c r="ER173" s="117"/>
      <c r="ES173" s="117"/>
      <c r="ET173" s="117"/>
      <c r="EU173" s="117"/>
      <c r="EV173" s="117"/>
      <c r="EW173" s="117"/>
      <c r="EX173" s="117"/>
      <c r="EY173" s="117"/>
      <c r="EZ173" s="117"/>
      <c r="FA173" s="117"/>
      <c r="FB173" s="117"/>
      <c r="FC173" s="117"/>
      <c r="FD173" s="117"/>
      <c r="FE173" s="117"/>
      <c r="FF173" s="117"/>
      <c r="FG173" s="117"/>
      <c r="FH173" s="117"/>
      <c r="FI173" s="117"/>
      <c r="FJ173" s="117"/>
      <c r="FK173" s="117"/>
      <c r="FL173" s="117"/>
      <c r="FM173" s="117"/>
      <c r="FN173" s="117"/>
      <c r="FO173" s="117"/>
      <c r="FP173" s="117"/>
      <c r="FQ173" s="117"/>
      <c r="FR173" s="117"/>
      <c r="FS173" s="117"/>
      <c r="FT173" s="117"/>
      <c r="FU173" s="117"/>
      <c r="FV173" s="117"/>
      <c r="FW173" s="117"/>
      <c r="FX173" s="117"/>
      <c r="FY173" s="117"/>
      <c r="FZ173" s="117"/>
      <c r="GA173" s="117"/>
      <c r="GB173" s="117"/>
      <c r="GC173" s="117"/>
      <c r="GD173" s="117"/>
      <c r="GE173" s="117"/>
    </row>
    <row r="174" spans="1:187" s="11" customFormat="1" ht="15" hidden="1">
      <c r="A174" s="36" t="s">
        <v>293</v>
      </c>
      <c r="B174" s="30"/>
      <c r="C174" s="28" t="s">
        <v>367</v>
      </c>
      <c r="D174" s="220"/>
      <c r="E174" s="31"/>
      <c r="F174" s="31"/>
      <c r="G174" s="38"/>
      <c r="H174" s="31"/>
      <c r="I174" s="31"/>
      <c r="J174" s="123"/>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c r="BJ174" s="117"/>
      <c r="BK174" s="117"/>
      <c r="BL174" s="117"/>
      <c r="BM174" s="117"/>
      <c r="BN174" s="117"/>
      <c r="BO174" s="117"/>
      <c r="BP174" s="117"/>
      <c r="BQ174" s="117"/>
      <c r="BR174" s="117"/>
      <c r="BS174" s="117"/>
      <c r="BT174" s="117"/>
      <c r="BU174" s="117"/>
      <c r="BV174" s="117"/>
      <c r="BW174" s="117"/>
      <c r="BX174" s="117"/>
      <c r="BY174" s="117"/>
      <c r="BZ174" s="117"/>
      <c r="CA174" s="117"/>
      <c r="CB174" s="117"/>
      <c r="CC174" s="117"/>
      <c r="CD174" s="117"/>
      <c r="CE174" s="117"/>
      <c r="CF174" s="117"/>
      <c r="CG174" s="117"/>
      <c r="CH174" s="117"/>
      <c r="CI174" s="117"/>
      <c r="CJ174" s="117"/>
      <c r="CK174" s="117"/>
      <c r="CL174" s="117"/>
      <c r="CM174" s="117"/>
      <c r="CN174" s="117"/>
      <c r="CO174" s="117"/>
      <c r="CP174" s="117"/>
      <c r="CQ174" s="117"/>
      <c r="CR174" s="117"/>
      <c r="CS174" s="117"/>
      <c r="CT174" s="117"/>
      <c r="CU174" s="117"/>
      <c r="CV174" s="117"/>
      <c r="CW174" s="117"/>
      <c r="CX174" s="117"/>
      <c r="CY174" s="117"/>
      <c r="CZ174" s="117"/>
      <c r="DA174" s="117"/>
      <c r="DB174" s="117"/>
      <c r="DC174" s="117"/>
      <c r="DD174" s="117"/>
      <c r="DE174" s="117"/>
      <c r="DF174" s="117"/>
      <c r="DG174" s="117"/>
      <c r="DH174" s="117"/>
      <c r="DI174" s="117"/>
      <c r="DJ174" s="117"/>
      <c r="DK174" s="117"/>
      <c r="DL174" s="117"/>
      <c r="DM174" s="117"/>
      <c r="DN174" s="117"/>
      <c r="DO174" s="117"/>
      <c r="DP174" s="117"/>
      <c r="DQ174" s="117"/>
      <c r="DR174" s="117"/>
      <c r="DS174" s="117"/>
      <c r="DT174" s="117"/>
      <c r="DU174" s="117"/>
      <c r="DV174" s="117"/>
      <c r="DW174" s="117"/>
      <c r="DX174" s="117"/>
      <c r="DY174" s="117"/>
      <c r="DZ174" s="117"/>
      <c r="EA174" s="117"/>
      <c r="EB174" s="117"/>
      <c r="EC174" s="117"/>
      <c r="ED174" s="117"/>
      <c r="EE174" s="117"/>
      <c r="EF174" s="117"/>
      <c r="EG174" s="117"/>
      <c r="EH174" s="117"/>
      <c r="EI174" s="117"/>
      <c r="EJ174" s="117"/>
      <c r="EK174" s="117"/>
      <c r="EL174" s="117"/>
      <c r="EM174" s="117"/>
      <c r="EN174" s="117"/>
      <c r="EO174" s="117"/>
      <c r="EP174" s="117"/>
      <c r="EQ174" s="117"/>
      <c r="ER174" s="117"/>
      <c r="ES174" s="117"/>
      <c r="ET174" s="117"/>
      <c r="EU174" s="117"/>
      <c r="EV174" s="117"/>
      <c r="EW174" s="117"/>
      <c r="EX174" s="117"/>
      <c r="EY174" s="117"/>
      <c r="EZ174" s="117"/>
      <c r="FA174" s="117"/>
      <c r="FB174" s="117"/>
      <c r="FC174" s="117"/>
      <c r="FD174" s="117"/>
      <c r="FE174" s="117"/>
      <c r="FF174" s="117"/>
      <c r="FG174" s="117"/>
      <c r="FH174" s="117"/>
      <c r="FI174" s="117"/>
      <c r="FJ174" s="117"/>
      <c r="FK174" s="117"/>
      <c r="FL174" s="117"/>
      <c r="FM174" s="117"/>
      <c r="FN174" s="117"/>
      <c r="FO174" s="117"/>
      <c r="FP174" s="117"/>
      <c r="FQ174" s="117"/>
      <c r="FR174" s="117"/>
      <c r="FS174" s="117"/>
      <c r="FT174" s="117"/>
      <c r="FU174" s="117"/>
      <c r="FV174" s="117"/>
      <c r="FW174" s="117"/>
      <c r="FX174" s="117"/>
      <c r="FY174" s="117"/>
      <c r="FZ174" s="117"/>
      <c r="GA174" s="117"/>
      <c r="GB174" s="117"/>
      <c r="GC174" s="117"/>
      <c r="GD174" s="117"/>
      <c r="GE174" s="117"/>
    </row>
    <row r="175" spans="1:187" s="11" customFormat="1" ht="15" hidden="1">
      <c r="A175" s="37" t="s">
        <v>108</v>
      </c>
      <c r="B175" s="33" t="s">
        <v>109</v>
      </c>
      <c r="C175" s="34"/>
      <c r="D175" s="220"/>
      <c r="E175" s="35"/>
      <c r="F175" s="35"/>
      <c r="G175" s="35"/>
      <c r="H175" s="35"/>
      <c r="I175" s="35"/>
      <c r="J175" s="122"/>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c r="BR175" s="117"/>
      <c r="BS175" s="117"/>
      <c r="BT175" s="117"/>
      <c r="BU175" s="117"/>
      <c r="BV175" s="117"/>
      <c r="BW175" s="117"/>
      <c r="BX175" s="117"/>
      <c r="BY175" s="117"/>
      <c r="BZ175" s="117"/>
      <c r="CA175" s="117"/>
      <c r="CB175" s="117"/>
      <c r="CC175" s="117"/>
      <c r="CD175" s="117"/>
      <c r="CE175" s="117"/>
      <c r="CF175" s="117"/>
      <c r="CG175" s="117"/>
      <c r="CH175" s="117"/>
      <c r="CI175" s="117"/>
      <c r="CJ175" s="117"/>
      <c r="CK175" s="117"/>
      <c r="CL175" s="117"/>
      <c r="CM175" s="117"/>
      <c r="CN175" s="117"/>
      <c r="CO175" s="117"/>
      <c r="CP175" s="117"/>
      <c r="CQ175" s="117"/>
      <c r="CR175" s="117"/>
      <c r="CS175" s="117"/>
      <c r="CT175" s="117"/>
      <c r="CU175" s="117"/>
      <c r="CV175" s="117"/>
      <c r="CW175" s="117"/>
      <c r="CX175" s="117"/>
      <c r="CY175" s="117"/>
      <c r="CZ175" s="117"/>
      <c r="DA175" s="117"/>
      <c r="DB175" s="117"/>
      <c r="DC175" s="117"/>
      <c r="DD175" s="117"/>
      <c r="DE175" s="117"/>
      <c r="DF175" s="117"/>
      <c r="DG175" s="117"/>
      <c r="DH175" s="117"/>
      <c r="DI175" s="117"/>
      <c r="DJ175" s="117"/>
      <c r="DK175" s="117"/>
      <c r="DL175" s="117"/>
      <c r="DM175" s="117"/>
      <c r="DN175" s="117"/>
      <c r="DO175" s="117"/>
      <c r="DP175" s="117"/>
      <c r="DQ175" s="117"/>
      <c r="DR175" s="117"/>
      <c r="DS175" s="117"/>
      <c r="DT175" s="117"/>
      <c r="DU175" s="117"/>
      <c r="DV175" s="117"/>
      <c r="DW175" s="117"/>
      <c r="DX175" s="117"/>
      <c r="DY175" s="117"/>
      <c r="DZ175" s="117"/>
      <c r="EA175" s="117"/>
      <c r="EB175" s="117"/>
      <c r="EC175" s="117"/>
      <c r="ED175" s="117"/>
      <c r="EE175" s="117"/>
      <c r="EF175" s="117"/>
      <c r="EG175" s="117"/>
      <c r="EH175" s="117"/>
      <c r="EI175" s="117"/>
      <c r="EJ175" s="117"/>
      <c r="EK175" s="117"/>
      <c r="EL175" s="117"/>
      <c r="EM175" s="117"/>
      <c r="EN175" s="117"/>
      <c r="EO175" s="117"/>
      <c r="EP175" s="117"/>
      <c r="EQ175" s="117"/>
      <c r="ER175" s="117"/>
      <c r="ES175" s="117"/>
      <c r="ET175" s="117"/>
      <c r="EU175" s="117"/>
      <c r="EV175" s="117"/>
      <c r="EW175" s="117"/>
      <c r="EX175" s="117"/>
      <c r="EY175" s="117"/>
      <c r="EZ175" s="117"/>
      <c r="FA175" s="117"/>
      <c r="FB175" s="117"/>
      <c r="FC175" s="117"/>
      <c r="FD175" s="117"/>
      <c r="FE175" s="117"/>
      <c r="FF175" s="117"/>
      <c r="FG175" s="117"/>
      <c r="FH175" s="117"/>
      <c r="FI175" s="117"/>
      <c r="FJ175" s="117"/>
      <c r="FK175" s="117"/>
      <c r="FL175" s="117"/>
      <c r="FM175" s="117"/>
      <c r="FN175" s="117"/>
      <c r="FO175" s="117"/>
      <c r="FP175" s="117"/>
      <c r="FQ175" s="117"/>
      <c r="FR175" s="117"/>
      <c r="FS175" s="117"/>
      <c r="FT175" s="117"/>
      <c r="FU175" s="117"/>
      <c r="FV175" s="117"/>
      <c r="FW175" s="117"/>
      <c r="FX175" s="117"/>
      <c r="FY175" s="117"/>
      <c r="FZ175" s="117"/>
      <c r="GA175" s="117"/>
      <c r="GB175" s="117"/>
      <c r="GC175" s="117"/>
      <c r="GD175" s="117"/>
      <c r="GE175" s="117"/>
    </row>
    <row r="176" spans="1:187" s="11" customFormat="1" ht="15" hidden="1">
      <c r="A176" s="39" t="s">
        <v>292</v>
      </c>
      <c r="B176" s="54"/>
      <c r="C176" s="29"/>
      <c r="D176" s="220"/>
      <c r="E176" s="55"/>
      <c r="F176" s="55"/>
      <c r="G176" s="55"/>
      <c r="H176" s="55"/>
      <c r="I176" s="55"/>
      <c r="J176" s="124"/>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c r="BJ176" s="117"/>
      <c r="BK176" s="117"/>
      <c r="BL176" s="117"/>
      <c r="BM176" s="117"/>
      <c r="BN176" s="117"/>
      <c r="BO176" s="117"/>
      <c r="BP176" s="117"/>
      <c r="BQ176" s="117"/>
      <c r="BR176" s="117"/>
      <c r="BS176" s="117"/>
      <c r="BT176" s="117"/>
      <c r="BU176" s="117"/>
      <c r="BV176" s="117"/>
      <c r="BW176" s="117"/>
      <c r="BX176" s="117"/>
      <c r="BY176" s="117"/>
      <c r="BZ176" s="117"/>
      <c r="CA176" s="117"/>
      <c r="CB176" s="117"/>
      <c r="CC176" s="117"/>
      <c r="CD176" s="117"/>
      <c r="CE176" s="117"/>
      <c r="CF176" s="117"/>
      <c r="CG176" s="117"/>
      <c r="CH176" s="117"/>
      <c r="CI176" s="117"/>
      <c r="CJ176" s="117"/>
      <c r="CK176" s="117"/>
      <c r="CL176" s="117"/>
      <c r="CM176" s="117"/>
      <c r="CN176" s="117"/>
      <c r="CO176" s="117"/>
      <c r="CP176" s="117"/>
      <c r="CQ176" s="117"/>
      <c r="CR176" s="117"/>
      <c r="CS176" s="117"/>
      <c r="CT176" s="117"/>
      <c r="CU176" s="117"/>
      <c r="CV176" s="117"/>
      <c r="CW176" s="117"/>
      <c r="CX176" s="117"/>
      <c r="CY176" s="117"/>
      <c r="CZ176" s="117"/>
      <c r="DA176" s="117"/>
      <c r="DB176" s="117"/>
      <c r="DC176" s="117"/>
      <c r="DD176" s="117"/>
      <c r="DE176" s="117"/>
      <c r="DF176" s="117"/>
      <c r="DG176" s="117"/>
      <c r="DH176" s="117"/>
      <c r="DI176" s="117"/>
      <c r="DJ176" s="117"/>
      <c r="DK176" s="117"/>
      <c r="DL176" s="117"/>
      <c r="DM176" s="117"/>
      <c r="DN176" s="117"/>
      <c r="DO176" s="117"/>
      <c r="DP176" s="117"/>
      <c r="DQ176" s="117"/>
      <c r="DR176" s="117"/>
      <c r="DS176" s="117"/>
      <c r="DT176" s="117"/>
      <c r="DU176" s="117"/>
      <c r="DV176" s="117"/>
      <c r="DW176" s="117"/>
      <c r="DX176" s="117"/>
      <c r="DY176" s="117"/>
      <c r="DZ176" s="117"/>
      <c r="EA176" s="117"/>
      <c r="EB176" s="117"/>
      <c r="EC176" s="117"/>
      <c r="ED176" s="117"/>
      <c r="EE176" s="117"/>
      <c r="EF176" s="117"/>
      <c r="EG176" s="117"/>
      <c r="EH176" s="117"/>
      <c r="EI176" s="117"/>
      <c r="EJ176" s="117"/>
      <c r="EK176" s="117"/>
      <c r="EL176" s="117"/>
      <c r="EM176" s="117"/>
      <c r="EN176" s="117"/>
      <c r="EO176" s="117"/>
      <c r="EP176" s="117"/>
      <c r="EQ176" s="117"/>
      <c r="ER176" s="117"/>
      <c r="ES176" s="117"/>
      <c r="ET176" s="117"/>
      <c r="EU176" s="117"/>
      <c r="EV176" s="117"/>
      <c r="EW176" s="117"/>
      <c r="EX176" s="117"/>
      <c r="EY176" s="117"/>
      <c r="EZ176" s="117"/>
      <c r="FA176" s="117"/>
      <c r="FB176" s="117"/>
      <c r="FC176" s="117"/>
      <c r="FD176" s="117"/>
      <c r="FE176" s="117"/>
      <c r="FF176" s="117"/>
      <c r="FG176" s="117"/>
      <c r="FH176" s="117"/>
      <c r="FI176" s="117"/>
      <c r="FJ176" s="117"/>
      <c r="FK176" s="117"/>
      <c r="FL176" s="117"/>
      <c r="FM176" s="117"/>
      <c r="FN176" s="117"/>
      <c r="FO176" s="117"/>
      <c r="FP176" s="117"/>
      <c r="FQ176" s="117"/>
      <c r="FR176" s="117"/>
      <c r="FS176" s="117"/>
      <c r="FT176" s="117"/>
      <c r="FU176" s="117"/>
      <c r="FV176" s="117"/>
      <c r="FW176" s="117"/>
      <c r="FX176" s="117"/>
      <c r="FY176" s="117"/>
      <c r="FZ176" s="117"/>
      <c r="GA176" s="117"/>
      <c r="GB176" s="117"/>
      <c r="GC176" s="117"/>
      <c r="GD176" s="117"/>
      <c r="GE176" s="117"/>
    </row>
    <row r="177" spans="1:187" s="11" customFormat="1" ht="15" hidden="1">
      <c r="A177" s="36" t="s">
        <v>295</v>
      </c>
      <c r="B177" s="30" t="s">
        <v>110</v>
      </c>
      <c r="C177" s="28" t="s">
        <v>35</v>
      </c>
      <c r="D177" s="220"/>
      <c r="E177" s="31"/>
      <c r="F177" s="31"/>
      <c r="G177" s="31"/>
      <c r="H177" s="31"/>
      <c r="I177" s="31"/>
      <c r="J177" s="123"/>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c r="BJ177" s="117"/>
      <c r="BK177" s="117"/>
      <c r="BL177" s="117"/>
      <c r="BM177" s="117"/>
      <c r="BN177" s="117"/>
      <c r="BO177" s="117"/>
      <c r="BP177" s="117"/>
      <c r="BQ177" s="117"/>
      <c r="BR177" s="117"/>
      <c r="BS177" s="117"/>
      <c r="BT177" s="117"/>
      <c r="BU177" s="117"/>
      <c r="BV177" s="117"/>
      <c r="BW177" s="117"/>
      <c r="BX177" s="117"/>
      <c r="BY177" s="117"/>
      <c r="BZ177" s="117"/>
      <c r="CA177" s="117"/>
      <c r="CB177" s="117"/>
      <c r="CC177" s="117"/>
      <c r="CD177" s="117"/>
      <c r="CE177" s="117"/>
      <c r="CF177" s="117"/>
      <c r="CG177" s="117"/>
      <c r="CH177" s="117"/>
      <c r="CI177" s="117"/>
      <c r="CJ177" s="117"/>
      <c r="CK177" s="117"/>
      <c r="CL177" s="117"/>
      <c r="CM177" s="117"/>
      <c r="CN177" s="117"/>
      <c r="CO177" s="117"/>
      <c r="CP177" s="117"/>
      <c r="CQ177" s="117"/>
      <c r="CR177" s="117"/>
      <c r="CS177" s="117"/>
      <c r="CT177" s="117"/>
      <c r="CU177" s="117"/>
      <c r="CV177" s="117"/>
      <c r="CW177" s="117"/>
      <c r="CX177" s="117"/>
      <c r="CY177" s="117"/>
      <c r="CZ177" s="117"/>
      <c r="DA177" s="117"/>
      <c r="DB177" s="117"/>
      <c r="DC177" s="117"/>
      <c r="DD177" s="117"/>
      <c r="DE177" s="117"/>
      <c r="DF177" s="117"/>
      <c r="DG177" s="117"/>
      <c r="DH177" s="117"/>
      <c r="DI177" s="117"/>
      <c r="DJ177" s="117"/>
      <c r="DK177" s="117"/>
      <c r="DL177" s="117"/>
      <c r="DM177" s="117"/>
      <c r="DN177" s="117"/>
      <c r="DO177" s="117"/>
      <c r="DP177" s="117"/>
      <c r="DQ177" s="117"/>
      <c r="DR177" s="117"/>
      <c r="DS177" s="117"/>
      <c r="DT177" s="117"/>
      <c r="DU177" s="117"/>
      <c r="DV177" s="117"/>
      <c r="DW177" s="117"/>
      <c r="DX177" s="117"/>
      <c r="DY177" s="117"/>
      <c r="DZ177" s="117"/>
      <c r="EA177" s="117"/>
      <c r="EB177" s="117"/>
      <c r="EC177" s="117"/>
      <c r="ED177" s="117"/>
      <c r="EE177" s="117"/>
      <c r="EF177" s="117"/>
      <c r="EG177" s="117"/>
      <c r="EH177" s="117"/>
      <c r="EI177" s="117"/>
      <c r="EJ177" s="117"/>
      <c r="EK177" s="117"/>
      <c r="EL177" s="117"/>
      <c r="EM177" s="117"/>
      <c r="EN177" s="117"/>
      <c r="EO177" s="117"/>
      <c r="EP177" s="117"/>
      <c r="EQ177" s="117"/>
      <c r="ER177" s="117"/>
      <c r="ES177" s="117"/>
      <c r="ET177" s="117"/>
      <c r="EU177" s="117"/>
      <c r="EV177" s="117"/>
      <c r="EW177" s="117"/>
      <c r="EX177" s="117"/>
      <c r="EY177" s="117"/>
      <c r="EZ177" s="117"/>
      <c r="FA177" s="117"/>
      <c r="FB177" s="117"/>
      <c r="FC177" s="117"/>
      <c r="FD177" s="117"/>
      <c r="FE177" s="117"/>
      <c r="FF177" s="117"/>
      <c r="FG177" s="117"/>
      <c r="FH177" s="117"/>
      <c r="FI177" s="117"/>
      <c r="FJ177" s="117"/>
      <c r="FK177" s="117"/>
      <c r="FL177" s="117"/>
      <c r="FM177" s="117"/>
      <c r="FN177" s="117"/>
      <c r="FO177" s="117"/>
      <c r="FP177" s="117"/>
      <c r="FQ177" s="117"/>
      <c r="FR177" s="117"/>
      <c r="FS177" s="117"/>
      <c r="FT177" s="117"/>
      <c r="FU177" s="117"/>
      <c r="FV177" s="117"/>
      <c r="FW177" s="117"/>
      <c r="FX177" s="117"/>
      <c r="FY177" s="117"/>
      <c r="FZ177" s="117"/>
      <c r="GA177" s="117"/>
      <c r="GB177" s="117"/>
      <c r="GC177" s="117"/>
      <c r="GD177" s="117"/>
      <c r="GE177" s="117"/>
    </row>
    <row r="178" spans="1:187" s="11" customFormat="1" ht="15" hidden="1">
      <c r="A178" s="40" t="s">
        <v>296</v>
      </c>
      <c r="B178" s="54"/>
      <c r="C178" s="29"/>
      <c r="D178" s="220"/>
      <c r="E178" s="55"/>
      <c r="F178" s="55"/>
      <c r="G178" s="55"/>
      <c r="H178" s="55"/>
      <c r="I178" s="55"/>
      <c r="J178" s="124"/>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c r="BJ178" s="117"/>
      <c r="BK178" s="117"/>
      <c r="BL178" s="117"/>
      <c r="BM178" s="117"/>
      <c r="BN178" s="117"/>
      <c r="BO178" s="117"/>
      <c r="BP178" s="117"/>
      <c r="BQ178" s="117"/>
      <c r="BR178" s="117"/>
      <c r="BS178" s="117"/>
      <c r="BT178" s="117"/>
      <c r="BU178" s="117"/>
      <c r="BV178" s="117"/>
      <c r="BW178" s="117"/>
      <c r="BX178" s="117"/>
      <c r="BY178" s="117"/>
      <c r="BZ178" s="117"/>
      <c r="CA178" s="117"/>
      <c r="CB178" s="117"/>
      <c r="CC178" s="117"/>
      <c r="CD178" s="117"/>
      <c r="CE178" s="117"/>
      <c r="CF178" s="117"/>
      <c r="CG178" s="117"/>
      <c r="CH178" s="117"/>
      <c r="CI178" s="117"/>
      <c r="CJ178" s="117"/>
      <c r="CK178" s="117"/>
      <c r="CL178" s="117"/>
      <c r="CM178" s="117"/>
      <c r="CN178" s="117"/>
      <c r="CO178" s="117"/>
      <c r="CP178" s="117"/>
      <c r="CQ178" s="117"/>
      <c r="CR178" s="117"/>
      <c r="CS178" s="117"/>
      <c r="CT178" s="117"/>
      <c r="CU178" s="117"/>
      <c r="CV178" s="117"/>
      <c r="CW178" s="117"/>
      <c r="CX178" s="117"/>
      <c r="CY178" s="117"/>
      <c r="CZ178" s="117"/>
      <c r="DA178" s="117"/>
      <c r="DB178" s="117"/>
      <c r="DC178" s="117"/>
      <c r="DD178" s="117"/>
      <c r="DE178" s="117"/>
      <c r="DF178" s="117"/>
      <c r="DG178" s="117"/>
      <c r="DH178" s="117"/>
      <c r="DI178" s="117"/>
      <c r="DJ178" s="117"/>
      <c r="DK178" s="117"/>
      <c r="DL178" s="117"/>
      <c r="DM178" s="117"/>
      <c r="DN178" s="117"/>
      <c r="DO178" s="117"/>
      <c r="DP178" s="117"/>
      <c r="DQ178" s="117"/>
      <c r="DR178" s="117"/>
      <c r="DS178" s="117"/>
      <c r="DT178" s="117"/>
      <c r="DU178" s="117"/>
      <c r="DV178" s="117"/>
      <c r="DW178" s="117"/>
      <c r="DX178" s="117"/>
      <c r="DY178" s="117"/>
      <c r="DZ178" s="117"/>
      <c r="EA178" s="117"/>
      <c r="EB178" s="117"/>
      <c r="EC178" s="117"/>
      <c r="ED178" s="117"/>
      <c r="EE178" s="117"/>
      <c r="EF178" s="117"/>
      <c r="EG178" s="117"/>
      <c r="EH178" s="117"/>
      <c r="EI178" s="117"/>
      <c r="EJ178" s="117"/>
      <c r="EK178" s="117"/>
      <c r="EL178" s="117"/>
      <c r="EM178" s="117"/>
      <c r="EN178" s="117"/>
      <c r="EO178" s="117"/>
      <c r="EP178" s="117"/>
      <c r="EQ178" s="117"/>
      <c r="ER178" s="117"/>
      <c r="ES178" s="117"/>
      <c r="ET178" s="117"/>
      <c r="EU178" s="117"/>
      <c r="EV178" s="117"/>
      <c r="EW178" s="117"/>
      <c r="EX178" s="117"/>
      <c r="EY178" s="117"/>
      <c r="EZ178" s="117"/>
      <c r="FA178" s="117"/>
      <c r="FB178" s="117"/>
      <c r="FC178" s="117"/>
      <c r="FD178" s="117"/>
      <c r="FE178" s="117"/>
      <c r="FF178" s="117"/>
      <c r="FG178" s="117"/>
      <c r="FH178" s="117"/>
      <c r="FI178" s="117"/>
      <c r="FJ178" s="117"/>
      <c r="FK178" s="117"/>
      <c r="FL178" s="117"/>
      <c r="FM178" s="117"/>
      <c r="FN178" s="117"/>
      <c r="FO178" s="117"/>
      <c r="FP178" s="117"/>
      <c r="FQ178" s="117"/>
      <c r="FR178" s="117"/>
      <c r="FS178" s="117"/>
      <c r="FT178" s="117"/>
      <c r="FU178" s="117"/>
      <c r="FV178" s="117"/>
      <c r="FW178" s="117"/>
      <c r="FX178" s="117"/>
      <c r="FY178" s="117"/>
      <c r="FZ178" s="117"/>
      <c r="GA178" s="117"/>
      <c r="GB178" s="117"/>
      <c r="GC178" s="117"/>
      <c r="GD178" s="117"/>
      <c r="GE178" s="117"/>
    </row>
    <row r="179" spans="1:187" s="11" customFormat="1" ht="30.75" hidden="1">
      <c r="A179" s="37" t="s">
        <v>173</v>
      </c>
      <c r="B179" s="33" t="s">
        <v>112</v>
      </c>
      <c r="C179" s="34">
        <v>510</v>
      </c>
      <c r="D179" s="220"/>
      <c r="E179" s="35"/>
      <c r="F179" s="35"/>
      <c r="G179" s="35"/>
      <c r="H179" s="35"/>
      <c r="I179" s="35"/>
      <c r="J179" s="122"/>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c r="BJ179" s="117"/>
      <c r="BK179" s="117"/>
      <c r="BL179" s="117"/>
      <c r="BM179" s="117"/>
      <c r="BN179" s="117"/>
      <c r="BO179" s="117"/>
      <c r="BP179" s="117"/>
      <c r="BQ179" s="117"/>
      <c r="BR179" s="117"/>
      <c r="BS179" s="117"/>
      <c r="BT179" s="117"/>
      <c r="BU179" s="117"/>
      <c r="BV179" s="117"/>
      <c r="BW179" s="117"/>
      <c r="BX179" s="117"/>
      <c r="BY179" s="117"/>
      <c r="BZ179" s="117"/>
      <c r="CA179" s="117"/>
      <c r="CB179" s="117"/>
      <c r="CC179" s="117"/>
      <c r="CD179" s="117"/>
      <c r="CE179" s="117"/>
      <c r="CF179" s="117"/>
      <c r="CG179" s="117"/>
      <c r="CH179" s="117"/>
      <c r="CI179" s="117"/>
      <c r="CJ179" s="117"/>
      <c r="CK179" s="117"/>
      <c r="CL179" s="117"/>
      <c r="CM179" s="117"/>
      <c r="CN179" s="117"/>
      <c r="CO179" s="117"/>
      <c r="CP179" s="117"/>
      <c r="CQ179" s="117"/>
      <c r="CR179" s="117"/>
      <c r="CS179" s="117"/>
      <c r="CT179" s="117"/>
      <c r="CU179" s="117"/>
      <c r="CV179" s="117"/>
      <c r="CW179" s="117"/>
      <c r="CX179" s="117"/>
      <c r="CY179" s="117"/>
      <c r="CZ179" s="117"/>
      <c r="DA179" s="117"/>
      <c r="DB179" s="117"/>
      <c r="DC179" s="117"/>
      <c r="DD179" s="117"/>
      <c r="DE179" s="117"/>
      <c r="DF179" s="117"/>
      <c r="DG179" s="117"/>
      <c r="DH179" s="117"/>
      <c r="DI179" s="117"/>
      <c r="DJ179" s="117"/>
      <c r="DK179" s="117"/>
      <c r="DL179" s="117"/>
      <c r="DM179" s="117"/>
      <c r="DN179" s="117"/>
      <c r="DO179" s="117"/>
      <c r="DP179" s="117"/>
      <c r="DQ179" s="117"/>
      <c r="DR179" s="117"/>
      <c r="DS179" s="117"/>
      <c r="DT179" s="117"/>
      <c r="DU179" s="117"/>
      <c r="DV179" s="117"/>
      <c r="DW179" s="117"/>
      <c r="DX179" s="117"/>
      <c r="DY179" s="117"/>
      <c r="DZ179" s="117"/>
      <c r="EA179" s="117"/>
      <c r="EB179" s="117"/>
      <c r="EC179" s="117"/>
      <c r="ED179" s="117"/>
      <c r="EE179" s="117"/>
      <c r="EF179" s="117"/>
      <c r="EG179" s="117"/>
      <c r="EH179" s="117"/>
      <c r="EI179" s="117"/>
      <c r="EJ179" s="117"/>
      <c r="EK179" s="117"/>
      <c r="EL179" s="117"/>
      <c r="EM179" s="117"/>
      <c r="EN179" s="117"/>
      <c r="EO179" s="117"/>
      <c r="EP179" s="117"/>
      <c r="EQ179" s="117"/>
      <c r="ER179" s="117"/>
      <c r="ES179" s="117"/>
      <c r="ET179" s="117"/>
      <c r="EU179" s="117"/>
      <c r="EV179" s="117"/>
      <c r="EW179" s="117"/>
      <c r="EX179" s="117"/>
      <c r="EY179" s="117"/>
      <c r="EZ179" s="117"/>
      <c r="FA179" s="117"/>
      <c r="FB179" s="117"/>
      <c r="FC179" s="117"/>
      <c r="FD179" s="117"/>
      <c r="FE179" s="117"/>
      <c r="FF179" s="117"/>
      <c r="FG179" s="117"/>
      <c r="FH179" s="117"/>
      <c r="FI179" s="117"/>
      <c r="FJ179" s="117"/>
      <c r="FK179" s="117"/>
      <c r="FL179" s="117"/>
      <c r="FM179" s="117"/>
      <c r="FN179" s="117"/>
      <c r="FO179" s="117"/>
      <c r="FP179" s="117"/>
      <c r="FQ179" s="117"/>
      <c r="FR179" s="117"/>
      <c r="FS179" s="117"/>
      <c r="FT179" s="117"/>
      <c r="FU179" s="117"/>
      <c r="FV179" s="117"/>
      <c r="FW179" s="117"/>
      <c r="FX179" s="117"/>
      <c r="FY179" s="117"/>
      <c r="FZ179" s="117"/>
      <c r="GA179" s="117"/>
      <c r="GB179" s="117"/>
      <c r="GC179" s="117"/>
      <c r="GD179" s="117"/>
      <c r="GE179" s="117"/>
    </row>
    <row r="180" spans="1:187" s="11" customFormat="1" ht="15">
      <c r="A180" s="90" t="s">
        <v>115</v>
      </c>
      <c r="B180" s="41" t="s">
        <v>117</v>
      </c>
      <c r="C180" s="42" t="s">
        <v>35</v>
      </c>
      <c r="D180" s="219">
        <f>SUM(E180:J180)</f>
        <v>71591325.32341999</v>
      </c>
      <c r="E180" s="43">
        <f>E181+E198+E207</f>
        <v>13995000.003419999</v>
      </c>
      <c r="F180" s="43">
        <f>F181+F198+F207</f>
        <v>57339640</v>
      </c>
      <c r="G180" s="43">
        <f>G181+G198+G207</f>
        <v>0</v>
      </c>
      <c r="H180" s="43">
        <f>H181+H198+H207</f>
        <v>256685.32</v>
      </c>
      <c r="I180" s="43"/>
      <c r="J180" s="44"/>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c r="BJ180" s="117"/>
      <c r="BK180" s="117"/>
      <c r="BL180" s="117"/>
      <c r="BM180" s="117"/>
      <c r="BN180" s="117"/>
      <c r="BO180" s="117"/>
      <c r="BP180" s="117"/>
      <c r="BQ180" s="117"/>
      <c r="BR180" s="117"/>
      <c r="BS180" s="117"/>
      <c r="BT180" s="117"/>
      <c r="BU180" s="117"/>
      <c r="BV180" s="117"/>
      <c r="BW180" s="117"/>
      <c r="BX180" s="117"/>
      <c r="BY180" s="117"/>
      <c r="BZ180" s="117"/>
      <c r="CA180" s="117"/>
      <c r="CB180" s="117"/>
      <c r="CC180" s="117"/>
      <c r="CD180" s="117"/>
      <c r="CE180" s="117"/>
      <c r="CF180" s="117"/>
      <c r="CG180" s="117"/>
      <c r="CH180" s="117"/>
      <c r="CI180" s="117"/>
      <c r="CJ180" s="117"/>
      <c r="CK180" s="117"/>
      <c r="CL180" s="117"/>
      <c r="CM180" s="117"/>
      <c r="CN180" s="117"/>
      <c r="CO180" s="117"/>
      <c r="CP180" s="117"/>
      <c r="CQ180" s="117"/>
      <c r="CR180" s="117"/>
      <c r="CS180" s="117"/>
      <c r="CT180" s="117"/>
      <c r="CU180" s="117"/>
      <c r="CV180" s="117"/>
      <c r="CW180" s="117"/>
      <c r="CX180" s="117"/>
      <c r="CY180" s="117"/>
      <c r="CZ180" s="117"/>
      <c r="DA180" s="117"/>
      <c r="DB180" s="117"/>
      <c r="DC180" s="117"/>
      <c r="DD180" s="117"/>
      <c r="DE180" s="117"/>
      <c r="DF180" s="117"/>
      <c r="DG180" s="117"/>
      <c r="DH180" s="117"/>
      <c r="DI180" s="117"/>
      <c r="DJ180" s="117"/>
      <c r="DK180" s="117"/>
      <c r="DL180" s="117"/>
      <c r="DM180" s="117"/>
      <c r="DN180" s="117"/>
      <c r="DO180" s="117"/>
      <c r="DP180" s="117"/>
      <c r="DQ180" s="117"/>
      <c r="DR180" s="117"/>
      <c r="DS180" s="117"/>
      <c r="DT180" s="117"/>
      <c r="DU180" s="117"/>
      <c r="DV180" s="117"/>
      <c r="DW180" s="117"/>
      <c r="DX180" s="117"/>
      <c r="DY180" s="117"/>
      <c r="DZ180" s="117"/>
      <c r="EA180" s="117"/>
      <c r="EB180" s="117"/>
      <c r="EC180" s="117"/>
      <c r="ED180" s="117"/>
      <c r="EE180" s="117"/>
      <c r="EF180" s="117"/>
      <c r="EG180" s="117"/>
      <c r="EH180" s="117"/>
      <c r="EI180" s="117"/>
      <c r="EJ180" s="117"/>
      <c r="EK180" s="117"/>
      <c r="EL180" s="117"/>
      <c r="EM180" s="117"/>
      <c r="EN180" s="117"/>
      <c r="EO180" s="117"/>
      <c r="EP180" s="117"/>
      <c r="EQ180" s="117"/>
      <c r="ER180" s="117"/>
      <c r="ES180" s="117"/>
      <c r="ET180" s="117"/>
      <c r="EU180" s="117"/>
      <c r="EV180" s="117"/>
      <c r="EW180" s="117"/>
      <c r="EX180" s="117"/>
      <c r="EY180" s="117"/>
      <c r="EZ180" s="117"/>
      <c r="FA180" s="117"/>
      <c r="FB180" s="117"/>
      <c r="FC180" s="117"/>
      <c r="FD180" s="117"/>
      <c r="FE180" s="117"/>
      <c r="FF180" s="117"/>
      <c r="FG180" s="117"/>
      <c r="FH180" s="117"/>
      <c r="FI180" s="117"/>
      <c r="FJ180" s="117"/>
      <c r="FK180" s="117"/>
      <c r="FL180" s="117"/>
      <c r="FM180" s="117"/>
      <c r="FN180" s="117"/>
      <c r="FO180" s="117"/>
      <c r="FP180" s="117"/>
      <c r="FQ180" s="117"/>
      <c r="FR180" s="117"/>
      <c r="FS180" s="117"/>
      <c r="FT180" s="117"/>
      <c r="FU180" s="117"/>
      <c r="FV180" s="117"/>
      <c r="FW180" s="117"/>
      <c r="FX180" s="117"/>
      <c r="FY180" s="117"/>
      <c r="FZ180" s="117"/>
      <c r="GA180" s="117"/>
      <c r="GB180" s="117"/>
      <c r="GC180" s="117"/>
      <c r="GD180" s="117"/>
      <c r="GE180" s="117"/>
    </row>
    <row r="181" spans="1:187" s="11" customFormat="1" ht="32.25" customHeight="1">
      <c r="A181" s="91" t="s">
        <v>752</v>
      </c>
      <c r="B181" s="66" t="s">
        <v>118</v>
      </c>
      <c r="C181" s="67" t="s">
        <v>35</v>
      </c>
      <c r="D181" s="220">
        <f>SUM(E181:J181)</f>
        <v>60354588.003419995</v>
      </c>
      <c r="E181" s="68">
        <f>E183+E188+E189</f>
        <v>9073788.003419999</v>
      </c>
      <c r="F181" s="68">
        <f>F183+F188+F189</f>
        <v>51280800</v>
      </c>
      <c r="G181" s="68">
        <f>G183+G189</f>
        <v>0</v>
      </c>
      <c r="H181" s="68"/>
      <c r="I181" s="68"/>
      <c r="J181" s="4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c r="BJ181" s="117"/>
      <c r="BK181" s="117"/>
      <c r="BL181" s="117"/>
      <c r="BM181" s="117"/>
      <c r="BN181" s="117"/>
      <c r="BO181" s="117"/>
      <c r="BP181" s="117"/>
      <c r="BQ181" s="117"/>
      <c r="BR181" s="117"/>
      <c r="BS181" s="117"/>
      <c r="BT181" s="117"/>
      <c r="BU181" s="117"/>
      <c r="BV181" s="117"/>
      <c r="BW181" s="117"/>
      <c r="BX181" s="117"/>
      <c r="BY181" s="117"/>
      <c r="BZ181" s="117"/>
      <c r="CA181" s="117"/>
      <c r="CB181" s="117"/>
      <c r="CC181" s="117"/>
      <c r="CD181" s="117"/>
      <c r="CE181" s="117"/>
      <c r="CF181" s="117"/>
      <c r="CG181" s="117"/>
      <c r="CH181" s="117"/>
      <c r="CI181" s="117"/>
      <c r="CJ181" s="117"/>
      <c r="CK181" s="117"/>
      <c r="CL181" s="117"/>
      <c r="CM181" s="117"/>
      <c r="CN181" s="117"/>
      <c r="CO181" s="117"/>
      <c r="CP181" s="117"/>
      <c r="CQ181" s="117"/>
      <c r="CR181" s="117"/>
      <c r="CS181" s="117"/>
      <c r="CT181" s="117"/>
      <c r="CU181" s="117"/>
      <c r="CV181" s="117"/>
      <c r="CW181" s="117"/>
      <c r="CX181" s="117"/>
      <c r="CY181" s="117"/>
      <c r="CZ181" s="117"/>
      <c r="DA181" s="117"/>
      <c r="DB181" s="117"/>
      <c r="DC181" s="117"/>
      <c r="DD181" s="117"/>
      <c r="DE181" s="117"/>
      <c r="DF181" s="117"/>
      <c r="DG181" s="117"/>
      <c r="DH181" s="117"/>
      <c r="DI181" s="117"/>
      <c r="DJ181" s="117"/>
      <c r="DK181" s="117"/>
      <c r="DL181" s="117"/>
      <c r="DM181" s="117"/>
      <c r="DN181" s="117"/>
      <c r="DO181" s="117"/>
      <c r="DP181" s="117"/>
      <c r="DQ181" s="117"/>
      <c r="DR181" s="117"/>
      <c r="DS181" s="117"/>
      <c r="DT181" s="117"/>
      <c r="DU181" s="117"/>
      <c r="DV181" s="117"/>
      <c r="DW181" s="117"/>
      <c r="DX181" s="117"/>
      <c r="DY181" s="117"/>
      <c r="DZ181" s="117"/>
      <c r="EA181" s="117"/>
      <c r="EB181" s="117"/>
      <c r="EC181" s="117"/>
      <c r="ED181" s="117"/>
      <c r="EE181" s="117"/>
      <c r="EF181" s="117"/>
      <c r="EG181" s="117"/>
      <c r="EH181" s="117"/>
      <c r="EI181" s="117"/>
      <c r="EJ181" s="117"/>
      <c r="EK181" s="117"/>
      <c r="EL181" s="117"/>
      <c r="EM181" s="117"/>
      <c r="EN181" s="117"/>
      <c r="EO181" s="117"/>
      <c r="EP181" s="117"/>
      <c r="EQ181" s="117"/>
      <c r="ER181" s="117"/>
      <c r="ES181" s="117"/>
      <c r="ET181" s="117"/>
      <c r="EU181" s="117"/>
      <c r="EV181" s="117"/>
      <c r="EW181" s="117"/>
      <c r="EX181" s="117"/>
      <c r="EY181" s="117"/>
      <c r="EZ181" s="117"/>
      <c r="FA181" s="117"/>
      <c r="FB181" s="117"/>
      <c r="FC181" s="117"/>
      <c r="FD181" s="117"/>
      <c r="FE181" s="117"/>
      <c r="FF181" s="117"/>
      <c r="FG181" s="117"/>
      <c r="FH181" s="117"/>
      <c r="FI181" s="117"/>
      <c r="FJ181" s="117"/>
      <c r="FK181" s="117"/>
      <c r="FL181" s="117"/>
      <c r="FM181" s="117"/>
      <c r="FN181" s="117"/>
      <c r="FO181" s="117"/>
      <c r="FP181" s="117"/>
      <c r="FQ181" s="117"/>
      <c r="FR181" s="117"/>
      <c r="FS181" s="117"/>
      <c r="FT181" s="117"/>
      <c r="FU181" s="117"/>
      <c r="FV181" s="117"/>
      <c r="FW181" s="117"/>
      <c r="FX181" s="117"/>
      <c r="FY181" s="117"/>
      <c r="FZ181" s="117"/>
      <c r="GA181" s="117"/>
      <c r="GB181" s="117"/>
      <c r="GC181" s="117"/>
      <c r="GD181" s="117"/>
      <c r="GE181" s="117"/>
    </row>
    <row r="182" spans="1:187" s="11" customFormat="1" ht="15" hidden="1">
      <c r="A182" s="73" t="s">
        <v>111</v>
      </c>
      <c r="B182" s="45"/>
      <c r="C182" s="46"/>
      <c r="D182" s="220"/>
      <c r="E182" s="47"/>
      <c r="F182" s="47"/>
      <c r="G182" s="47"/>
      <c r="H182" s="47"/>
      <c r="I182" s="47"/>
      <c r="J182" s="4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c r="BJ182" s="117"/>
      <c r="BK182" s="117"/>
      <c r="BL182" s="117"/>
      <c r="BM182" s="117"/>
      <c r="BN182" s="117"/>
      <c r="BO182" s="117"/>
      <c r="BP182" s="117"/>
      <c r="BQ182" s="117"/>
      <c r="BR182" s="117"/>
      <c r="BS182" s="117"/>
      <c r="BT182" s="117"/>
      <c r="BU182" s="117"/>
      <c r="BV182" s="117"/>
      <c r="BW182" s="117"/>
      <c r="BX182" s="117"/>
      <c r="BY182" s="117"/>
      <c r="BZ182" s="117"/>
      <c r="CA182" s="117"/>
      <c r="CB182" s="117"/>
      <c r="CC182" s="117"/>
      <c r="CD182" s="117"/>
      <c r="CE182" s="117"/>
      <c r="CF182" s="117"/>
      <c r="CG182" s="117"/>
      <c r="CH182" s="117"/>
      <c r="CI182" s="117"/>
      <c r="CJ182" s="117"/>
      <c r="CK182" s="117"/>
      <c r="CL182" s="117"/>
      <c r="CM182" s="117"/>
      <c r="CN182" s="117"/>
      <c r="CO182" s="117"/>
      <c r="CP182" s="117"/>
      <c r="CQ182" s="117"/>
      <c r="CR182" s="117"/>
      <c r="CS182" s="117"/>
      <c r="CT182" s="117"/>
      <c r="CU182" s="117"/>
      <c r="CV182" s="117"/>
      <c r="CW182" s="117"/>
      <c r="CX182" s="117"/>
      <c r="CY182" s="117"/>
      <c r="CZ182" s="117"/>
      <c r="DA182" s="117"/>
      <c r="DB182" s="117"/>
      <c r="DC182" s="117"/>
      <c r="DD182" s="117"/>
      <c r="DE182" s="117"/>
      <c r="DF182" s="117"/>
      <c r="DG182" s="117"/>
      <c r="DH182" s="117"/>
      <c r="DI182" s="117"/>
      <c r="DJ182" s="117"/>
      <c r="DK182" s="117"/>
      <c r="DL182" s="117"/>
      <c r="DM182" s="117"/>
      <c r="DN182" s="117"/>
      <c r="DO182" s="117"/>
      <c r="DP182" s="117"/>
      <c r="DQ182" s="117"/>
      <c r="DR182" s="117"/>
      <c r="DS182" s="117"/>
      <c r="DT182" s="117"/>
      <c r="DU182" s="117"/>
      <c r="DV182" s="117"/>
      <c r="DW182" s="117"/>
      <c r="DX182" s="117"/>
      <c r="DY182" s="117"/>
      <c r="DZ182" s="117"/>
      <c r="EA182" s="117"/>
      <c r="EB182" s="117"/>
      <c r="EC182" s="117"/>
      <c r="ED182" s="117"/>
      <c r="EE182" s="117"/>
      <c r="EF182" s="117"/>
      <c r="EG182" s="117"/>
      <c r="EH182" s="117"/>
      <c r="EI182" s="117"/>
      <c r="EJ182" s="117"/>
      <c r="EK182" s="117"/>
      <c r="EL182" s="117"/>
      <c r="EM182" s="117"/>
      <c r="EN182" s="117"/>
      <c r="EO182" s="117"/>
      <c r="EP182" s="117"/>
      <c r="EQ182" s="117"/>
      <c r="ER182" s="117"/>
      <c r="ES182" s="117"/>
      <c r="ET182" s="117"/>
      <c r="EU182" s="117"/>
      <c r="EV182" s="117"/>
      <c r="EW182" s="117"/>
      <c r="EX182" s="117"/>
      <c r="EY182" s="117"/>
      <c r="EZ182" s="117"/>
      <c r="FA182" s="117"/>
      <c r="FB182" s="117"/>
      <c r="FC182" s="117"/>
      <c r="FD182" s="117"/>
      <c r="FE182" s="117"/>
      <c r="FF182" s="117"/>
      <c r="FG182" s="117"/>
      <c r="FH182" s="117"/>
      <c r="FI182" s="117"/>
      <c r="FJ182" s="117"/>
      <c r="FK182" s="117"/>
      <c r="FL182" s="117"/>
      <c r="FM182" s="117"/>
      <c r="FN182" s="117"/>
      <c r="FO182" s="117"/>
      <c r="FP182" s="117"/>
      <c r="FQ182" s="117"/>
      <c r="FR182" s="117"/>
      <c r="FS182" s="117"/>
      <c r="FT182" s="117"/>
      <c r="FU182" s="117"/>
      <c r="FV182" s="117"/>
      <c r="FW182" s="117"/>
      <c r="FX182" s="117"/>
      <c r="FY182" s="117"/>
      <c r="FZ182" s="117"/>
      <c r="GA182" s="117"/>
      <c r="GB182" s="117"/>
      <c r="GC182" s="117"/>
      <c r="GD182" s="117"/>
      <c r="GE182" s="117"/>
    </row>
    <row r="183" spans="1:187" s="11" customFormat="1" ht="30.75" customHeight="1">
      <c r="A183" s="73" t="s">
        <v>753</v>
      </c>
      <c r="B183" s="45" t="s">
        <v>119</v>
      </c>
      <c r="C183" s="49" t="s">
        <v>35</v>
      </c>
      <c r="D183" s="220">
        <f>SUM(E183:J183)</f>
        <v>46355290.33</v>
      </c>
      <c r="E183" s="47">
        <f>'Местный бюджет'!H277</f>
        <v>6969115.21</v>
      </c>
      <c r="F183" s="47">
        <f>'Областной бюджет'!H222</f>
        <v>39386175.12</v>
      </c>
      <c r="G183" s="47">
        <f>G187</f>
        <v>0</v>
      </c>
      <c r="H183" s="47"/>
      <c r="I183" s="47"/>
      <c r="J183" s="4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c r="BJ183" s="117"/>
      <c r="BK183" s="117"/>
      <c r="BL183" s="117"/>
      <c r="BM183" s="117"/>
      <c r="BN183" s="117"/>
      <c r="BO183" s="117"/>
      <c r="BP183" s="117"/>
      <c r="BQ183" s="117"/>
      <c r="BR183" s="117"/>
      <c r="BS183" s="117"/>
      <c r="BT183" s="117"/>
      <c r="BU183" s="117"/>
      <c r="BV183" s="117"/>
      <c r="BW183" s="117"/>
      <c r="BX183" s="117"/>
      <c r="BY183" s="117"/>
      <c r="BZ183" s="117"/>
      <c r="CA183" s="117"/>
      <c r="CB183" s="117"/>
      <c r="CC183" s="117"/>
      <c r="CD183" s="117"/>
      <c r="CE183" s="117"/>
      <c r="CF183" s="117"/>
      <c r="CG183" s="117"/>
      <c r="CH183" s="117"/>
      <c r="CI183" s="117"/>
      <c r="CJ183" s="117"/>
      <c r="CK183" s="117"/>
      <c r="CL183" s="117"/>
      <c r="CM183" s="117"/>
      <c r="CN183" s="117"/>
      <c r="CO183" s="117"/>
      <c r="CP183" s="117"/>
      <c r="CQ183" s="117"/>
      <c r="CR183" s="117"/>
      <c r="CS183" s="117"/>
      <c r="CT183" s="117"/>
      <c r="CU183" s="117"/>
      <c r="CV183" s="117"/>
      <c r="CW183" s="117"/>
      <c r="CX183" s="117"/>
      <c r="CY183" s="117"/>
      <c r="CZ183" s="117"/>
      <c r="DA183" s="117"/>
      <c r="DB183" s="117"/>
      <c r="DC183" s="117"/>
      <c r="DD183" s="117"/>
      <c r="DE183" s="117"/>
      <c r="DF183" s="117"/>
      <c r="DG183" s="117"/>
      <c r="DH183" s="117"/>
      <c r="DI183" s="117"/>
      <c r="DJ183" s="117"/>
      <c r="DK183" s="117"/>
      <c r="DL183" s="117"/>
      <c r="DM183" s="117"/>
      <c r="DN183" s="117"/>
      <c r="DO183" s="117"/>
      <c r="DP183" s="117"/>
      <c r="DQ183" s="117"/>
      <c r="DR183" s="117"/>
      <c r="DS183" s="117"/>
      <c r="DT183" s="117"/>
      <c r="DU183" s="117"/>
      <c r="DV183" s="117"/>
      <c r="DW183" s="117"/>
      <c r="DX183" s="117"/>
      <c r="DY183" s="117"/>
      <c r="DZ183" s="117"/>
      <c r="EA183" s="117"/>
      <c r="EB183" s="117"/>
      <c r="EC183" s="117"/>
      <c r="ED183" s="117"/>
      <c r="EE183" s="117"/>
      <c r="EF183" s="117"/>
      <c r="EG183" s="117"/>
      <c r="EH183" s="117"/>
      <c r="EI183" s="117"/>
      <c r="EJ183" s="117"/>
      <c r="EK183" s="117"/>
      <c r="EL183" s="117"/>
      <c r="EM183" s="117"/>
      <c r="EN183" s="117"/>
      <c r="EO183" s="117"/>
      <c r="EP183" s="117"/>
      <c r="EQ183" s="117"/>
      <c r="ER183" s="117"/>
      <c r="ES183" s="117"/>
      <c r="ET183" s="117"/>
      <c r="EU183" s="117"/>
      <c r="EV183" s="117"/>
      <c r="EW183" s="117"/>
      <c r="EX183" s="117"/>
      <c r="EY183" s="117"/>
      <c r="EZ183" s="117"/>
      <c r="FA183" s="117"/>
      <c r="FB183" s="117"/>
      <c r="FC183" s="117"/>
      <c r="FD183" s="117"/>
      <c r="FE183" s="117"/>
      <c r="FF183" s="117"/>
      <c r="FG183" s="117"/>
      <c r="FH183" s="117"/>
      <c r="FI183" s="117"/>
      <c r="FJ183" s="117"/>
      <c r="FK183" s="117"/>
      <c r="FL183" s="117"/>
      <c r="FM183" s="117"/>
      <c r="FN183" s="117"/>
      <c r="FO183" s="117"/>
      <c r="FP183" s="117"/>
      <c r="FQ183" s="117"/>
      <c r="FR183" s="117"/>
      <c r="FS183" s="117"/>
      <c r="FT183" s="117"/>
      <c r="FU183" s="117"/>
      <c r="FV183" s="117"/>
      <c r="FW183" s="117"/>
      <c r="FX183" s="117"/>
      <c r="FY183" s="117"/>
      <c r="FZ183" s="117"/>
      <c r="GA183" s="117"/>
      <c r="GB183" s="117"/>
      <c r="GC183" s="117"/>
      <c r="GD183" s="117"/>
      <c r="GE183" s="117"/>
    </row>
    <row r="184" spans="1:187" s="11" customFormat="1" ht="15" hidden="1">
      <c r="A184" s="313" t="s">
        <v>526</v>
      </c>
      <c r="B184" s="45" t="s">
        <v>119</v>
      </c>
      <c r="C184" s="46" t="s">
        <v>368</v>
      </c>
      <c r="D184" s="220">
        <f>SUM(E184:J184)</f>
        <v>0</v>
      </c>
      <c r="E184" s="47">
        <f>'Местный бюджет'!H278</f>
        <v>0</v>
      </c>
      <c r="F184" s="47">
        <f>'Областной бюджет'!H223</f>
        <v>0</v>
      </c>
      <c r="G184" s="47"/>
      <c r="H184" s="47"/>
      <c r="I184" s="47"/>
      <c r="J184" s="4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c r="BJ184" s="117"/>
      <c r="BK184" s="117"/>
      <c r="BL184" s="117"/>
      <c r="BM184" s="117"/>
      <c r="BN184" s="117"/>
      <c r="BO184" s="117"/>
      <c r="BP184" s="117"/>
      <c r="BQ184" s="117"/>
      <c r="BR184" s="117"/>
      <c r="BS184" s="117"/>
      <c r="BT184" s="117"/>
      <c r="BU184" s="117"/>
      <c r="BV184" s="117"/>
      <c r="BW184" s="117"/>
      <c r="BX184" s="117"/>
      <c r="BY184" s="117"/>
      <c r="BZ184" s="117"/>
      <c r="CA184" s="117"/>
      <c r="CB184" s="117"/>
      <c r="CC184" s="117"/>
      <c r="CD184" s="117"/>
      <c r="CE184" s="117"/>
      <c r="CF184" s="117"/>
      <c r="CG184" s="117"/>
      <c r="CH184" s="117"/>
      <c r="CI184" s="117"/>
      <c r="CJ184" s="117"/>
      <c r="CK184" s="117"/>
      <c r="CL184" s="117"/>
      <c r="CM184" s="117"/>
      <c r="CN184" s="117"/>
      <c r="CO184" s="117"/>
      <c r="CP184" s="117"/>
      <c r="CQ184" s="117"/>
      <c r="CR184" s="117"/>
      <c r="CS184" s="117"/>
      <c r="CT184" s="117"/>
      <c r="CU184" s="117"/>
      <c r="CV184" s="117"/>
      <c r="CW184" s="117"/>
      <c r="CX184" s="117"/>
      <c r="CY184" s="117"/>
      <c r="CZ184" s="117"/>
      <c r="DA184" s="117"/>
      <c r="DB184" s="117"/>
      <c r="DC184" s="117"/>
      <c r="DD184" s="117"/>
      <c r="DE184" s="117"/>
      <c r="DF184" s="117"/>
      <c r="DG184" s="117"/>
      <c r="DH184" s="117"/>
      <c r="DI184" s="117"/>
      <c r="DJ184" s="117"/>
      <c r="DK184" s="117"/>
      <c r="DL184" s="117"/>
      <c r="DM184" s="117"/>
      <c r="DN184" s="117"/>
      <c r="DO184" s="117"/>
      <c r="DP184" s="117"/>
      <c r="DQ184" s="117"/>
      <c r="DR184" s="117"/>
      <c r="DS184" s="117"/>
      <c r="DT184" s="117"/>
      <c r="DU184" s="117"/>
      <c r="DV184" s="117"/>
      <c r="DW184" s="117"/>
      <c r="DX184" s="117"/>
      <c r="DY184" s="117"/>
      <c r="DZ184" s="117"/>
      <c r="EA184" s="117"/>
      <c r="EB184" s="117"/>
      <c r="EC184" s="117"/>
      <c r="ED184" s="117"/>
      <c r="EE184" s="117"/>
      <c r="EF184" s="117"/>
      <c r="EG184" s="117"/>
      <c r="EH184" s="117"/>
      <c r="EI184" s="117"/>
      <c r="EJ184" s="117"/>
      <c r="EK184" s="117"/>
      <c r="EL184" s="117"/>
      <c r="EM184" s="117"/>
      <c r="EN184" s="117"/>
      <c r="EO184" s="117"/>
      <c r="EP184" s="117"/>
      <c r="EQ184" s="117"/>
      <c r="ER184" s="117"/>
      <c r="ES184" s="117"/>
      <c r="ET184" s="117"/>
      <c r="EU184" s="117"/>
      <c r="EV184" s="117"/>
      <c r="EW184" s="117"/>
      <c r="EX184" s="117"/>
      <c r="EY184" s="117"/>
      <c r="EZ184" s="117"/>
      <c r="FA184" s="117"/>
      <c r="FB184" s="117"/>
      <c r="FC184" s="117"/>
      <c r="FD184" s="117"/>
      <c r="FE184" s="117"/>
      <c r="FF184" s="117"/>
      <c r="FG184" s="117"/>
      <c r="FH184" s="117"/>
      <c r="FI184" s="117"/>
      <c r="FJ184" s="117"/>
      <c r="FK184" s="117"/>
      <c r="FL184" s="117"/>
      <c r="FM184" s="117"/>
      <c r="FN184" s="117"/>
      <c r="FO184" s="117"/>
      <c r="FP184" s="117"/>
      <c r="FQ184" s="117"/>
      <c r="FR184" s="117"/>
      <c r="FS184" s="117"/>
      <c r="FT184" s="117"/>
      <c r="FU184" s="117"/>
      <c r="FV184" s="117"/>
      <c r="FW184" s="117"/>
      <c r="FX184" s="117"/>
      <c r="FY184" s="117"/>
      <c r="FZ184" s="117"/>
      <c r="GA184" s="117"/>
      <c r="GB184" s="117"/>
      <c r="GC184" s="117"/>
      <c r="GD184" s="117"/>
      <c r="GE184" s="117"/>
    </row>
    <row r="185" spans="1:187" s="11" customFormat="1" ht="32.25" customHeight="1">
      <c r="A185" s="73" t="s">
        <v>754</v>
      </c>
      <c r="B185" s="45" t="s">
        <v>726</v>
      </c>
      <c r="C185" s="49"/>
      <c r="D185" s="220">
        <f>SUM(E185:J185)</f>
        <v>46355290.33</v>
      </c>
      <c r="E185" s="47">
        <f>E183</f>
        <v>6969115.21</v>
      </c>
      <c r="F185" s="47">
        <f>F183</f>
        <v>39386175.12</v>
      </c>
      <c r="G185" s="47">
        <f>G183</f>
        <v>0</v>
      </c>
      <c r="H185" s="47"/>
      <c r="I185" s="47"/>
      <c r="J185" s="4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17"/>
      <c r="BQ185" s="117"/>
      <c r="BR185" s="117"/>
      <c r="BS185" s="117"/>
      <c r="BT185" s="117"/>
      <c r="BU185" s="117"/>
      <c r="BV185" s="117"/>
      <c r="BW185" s="117"/>
      <c r="BX185" s="117"/>
      <c r="BY185" s="117"/>
      <c r="BZ185" s="117"/>
      <c r="CA185" s="117"/>
      <c r="CB185" s="117"/>
      <c r="CC185" s="117"/>
      <c r="CD185" s="117"/>
      <c r="CE185" s="117"/>
      <c r="CF185" s="117"/>
      <c r="CG185" s="117"/>
      <c r="CH185" s="117"/>
      <c r="CI185" s="117"/>
      <c r="CJ185" s="117"/>
      <c r="CK185" s="117"/>
      <c r="CL185" s="117"/>
      <c r="CM185" s="117"/>
      <c r="CN185" s="117"/>
      <c r="CO185" s="117"/>
      <c r="CP185" s="117"/>
      <c r="CQ185" s="117"/>
      <c r="CR185" s="117"/>
      <c r="CS185" s="117"/>
      <c r="CT185" s="117"/>
      <c r="CU185" s="117"/>
      <c r="CV185" s="117"/>
      <c r="CW185" s="117"/>
      <c r="CX185" s="117"/>
      <c r="CY185" s="117"/>
      <c r="CZ185" s="117"/>
      <c r="DA185" s="117"/>
      <c r="DB185" s="117"/>
      <c r="DC185" s="117"/>
      <c r="DD185" s="117"/>
      <c r="DE185" s="117"/>
      <c r="DF185" s="117"/>
      <c r="DG185" s="117"/>
      <c r="DH185" s="117"/>
      <c r="DI185" s="117"/>
      <c r="DJ185" s="117"/>
      <c r="DK185" s="117"/>
      <c r="DL185" s="117"/>
      <c r="DM185" s="117"/>
      <c r="DN185" s="117"/>
      <c r="DO185" s="117"/>
      <c r="DP185" s="117"/>
      <c r="DQ185" s="117"/>
      <c r="DR185" s="117"/>
      <c r="DS185" s="117"/>
      <c r="DT185" s="117"/>
      <c r="DU185" s="117"/>
      <c r="DV185" s="117"/>
      <c r="DW185" s="117"/>
      <c r="DX185" s="117"/>
      <c r="DY185" s="117"/>
      <c r="DZ185" s="117"/>
      <c r="EA185" s="117"/>
      <c r="EB185" s="117"/>
      <c r="EC185" s="117"/>
      <c r="ED185" s="117"/>
      <c r="EE185" s="117"/>
      <c r="EF185" s="117"/>
      <c r="EG185" s="117"/>
      <c r="EH185" s="117"/>
      <c r="EI185" s="117"/>
      <c r="EJ185" s="117"/>
      <c r="EK185" s="117"/>
      <c r="EL185" s="117"/>
      <c r="EM185" s="117"/>
      <c r="EN185" s="117"/>
      <c r="EO185" s="117"/>
      <c r="EP185" s="117"/>
      <c r="EQ185" s="117"/>
      <c r="ER185" s="117"/>
      <c r="ES185" s="117"/>
      <c r="ET185" s="117"/>
      <c r="EU185" s="117"/>
      <c r="EV185" s="117"/>
      <c r="EW185" s="117"/>
      <c r="EX185" s="117"/>
      <c r="EY185" s="117"/>
      <c r="EZ185" s="117"/>
      <c r="FA185" s="117"/>
      <c r="FB185" s="117"/>
      <c r="FC185" s="117"/>
      <c r="FD185" s="117"/>
      <c r="FE185" s="117"/>
      <c r="FF185" s="117"/>
      <c r="FG185" s="117"/>
      <c r="FH185" s="117"/>
      <c r="FI185" s="117"/>
      <c r="FJ185" s="117"/>
      <c r="FK185" s="117"/>
      <c r="FL185" s="117"/>
      <c r="FM185" s="117"/>
      <c r="FN185" s="117"/>
      <c r="FO185" s="117"/>
      <c r="FP185" s="117"/>
      <c r="FQ185" s="117"/>
      <c r="FR185" s="117"/>
      <c r="FS185" s="117"/>
      <c r="FT185" s="117"/>
      <c r="FU185" s="117"/>
      <c r="FV185" s="117"/>
      <c r="FW185" s="117"/>
      <c r="FX185" s="117"/>
      <c r="FY185" s="117"/>
      <c r="FZ185" s="117"/>
      <c r="GA185" s="117"/>
      <c r="GB185" s="117"/>
      <c r="GC185" s="117"/>
      <c r="GD185" s="117"/>
      <c r="GE185" s="117"/>
    </row>
    <row r="186" spans="1:187" s="11" customFormat="1" ht="30.75" customHeight="1">
      <c r="A186" s="73" t="s">
        <v>754</v>
      </c>
      <c r="B186" s="45"/>
      <c r="C186" s="49" t="s">
        <v>368</v>
      </c>
      <c r="D186" s="220">
        <f>SUM(E186:J186)</f>
        <v>46355290.33</v>
      </c>
      <c r="E186" s="47">
        <f>E183</f>
        <v>6969115.21</v>
      </c>
      <c r="F186" s="47">
        <f>F183</f>
        <v>39386175.12</v>
      </c>
      <c r="G186" s="47"/>
      <c r="H186" s="47"/>
      <c r="I186" s="47"/>
      <c r="J186" s="4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c r="AY186" s="117"/>
      <c r="AZ186" s="117"/>
      <c r="BA186" s="117"/>
      <c r="BB186" s="117"/>
      <c r="BC186" s="117"/>
      <c r="BD186" s="117"/>
      <c r="BE186" s="117"/>
      <c r="BF186" s="117"/>
      <c r="BG186" s="117"/>
      <c r="BH186" s="117"/>
      <c r="BI186" s="117"/>
      <c r="BJ186" s="117"/>
      <c r="BK186" s="117"/>
      <c r="BL186" s="117"/>
      <c r="BM186" s="117"/>
      <c r="BN186" s="117"/>
      <c r="BO186" s="117"/>
      <c r="BP186" s="117"/>
      <c r="BQ186" s="117"/>
      <c r="BR186" s="117"/>
      <c r="BS186" s="117"/>
      <c r="BT186" s="117"/>
      <c r="BU186" s="117"/>
      <c r="BV186" s="117"/>
      <c r="BW186" s="117"/>
      <c r="BX186" s="117"/>
      <c r="BY186" s="117"/>
      <c r="BZ186" s="117"/>
      <c r="CA186" s="117"/>
      <c r="CB186" s="117"/>
      <c r="CC186" s="117"/>
      <c r="CD186" s="117"/>
      <c r="CE186" s="117"/>
      <c r="CF186" s="117"/>
      <c r="CG186" s="117"/>
      <c r="CH186" s="117"/>
      <c r="CI186" s="117"/>
      <c r="CJ186" s="117"/>
      <c r="CK186" s="117"/>
      <c r="CL186" s="117"/>
      <c r="CM186" s="117"/>
      <c r="CN186" s="117"/>
      <c r="CO186" s="117"/>
      <c r="CP186" s="117"/>
      <c r="CQ186" s="117"/>
      <c r="CR186" s="117"/>
      <c r="CS186" s="117"/>
      <c r="CT186" s="117"/>
      <c r="CU186" s="117"/>
      <c r="CV186" s="117"/>
      <c r="CW186" s="117"/>
      <c r="CX186" s="117"/>
      <c r="CY186" s="117"/>
      <c r="CZ186" s="117"/>
      <c r="DA186" s="117"/>
      <c r="DB186" s="117"/>
      <c r="DC186" s="117"/>
      <c r="DD186" s="117"/>
      <c r="DE186" s="117"/>
      <c r="DF186" s="117"/>
      <c r="DG186" s="117"/>
      <c r="DH186" s="117"/>
      <c r="DI186" s="117"/>
      <c r="DJ186" s="117"/>
      <c r="DK186" s="117"/>
      <c r="DL186" s="117"/>
      <c r="DM186" s="117"/>
      <c r="DN186" s="117"/>
      <c r="DO186" s="117"/>
      <c r="DP186" s="117"/>
      <c r="DQ186" s="117"/>
      <c r="DR186" s="117"/>
      <c r="DS186" s="117"/>
      <c r="DT186" s="117"/>
      <c r="DU186" s="117"/>
      <c r="DV186" s="117"/>
      <c r="DW186" s="117"/>
      <c r="DX186" s="117"/>
      <c r="DY186" s="117"/>
      <c r="DZ186" s="117"/>
      <c r="EA186" s="117"/>
      <c r="EB186" s="117"/>
      <c r="EC186" s="117"/>
      <c r="ED186" s="117"/>
      <c r="EE186" s="117"/>
      <c r="EF186" s="117"/>
      <c r="EG186" s="117"/>
      <c r="EH186" s="117"/>
      <c r="EI186" s="117"/>
      <c r="EJ186" s="117"/>
      <c r="EK186" s="117"/>
      <c r="EL186" s="117"/>
      <c r="EM186" s="117"/>
      <c r="EN186" s="117"/>
      <c r="EO186" s="117"/>
      <c r="EP186" s="117"/>
      <c r="EQ186" s="117"/>
      <c r="ER186" s="117"/>
      <c r="ES186" s="117"/>
      <c r="ET186" s="117"/>
      <c r="EU186" s="117"/>
      <c r="EV186" s="117"/>
      <c r="EW186" s="117"/>
      <c r="EX186" s="117"/>
      <c r="EY186" s="117"/>
      <c r="EZ186" s="117"/>
      <c r="FA186" s="117"/>
      <c r="FB186" s="117"/>
      <c r="FC186" s="117"/>
      <c r="FD186" s="117"/>
      <c r="FE186" s="117"/>
      <c r="FF186" s="117"/>
      <c r="FG186" s="117"/>
      <c r="FH186" s="117"/>
      <c r="FI186" s="117"/>
      <c r="FJ186" s="117"/>
      <c r="FK186" s="117"/>
      <c r="FL186" s="117"/>
      <c r="FM186" s="117"/>
      <c r="FN186" s="117"/>
      <c r="FO186" s="117"/>
      <c r="FP186" s="117"/>
      <c r="FQ186" s="117"/>
      <c r="FR186" s="117"/>
      <c r="FS186" s="117"/>
      <c r="FT186" s="117"/>
      <c r="FU186" s="117"/>
      <c r="FV186" s="117"/>
      <c r="FW186" s="117"/>
      <c r="FX186" s="117"/>
      <c r="FY186" s="117"/>
      <c r="FZ186" s="117"/>
      <c r="GA186" s="117"/>
      <c r="GB186" s="117"/>
      <c r="GC186" s="117"/>
      <c r="GD186" s="117"/>
      <c r="GE186" s="117"/>
    </row>
    <row r="187" spans="1:187" s="1" customFormat="1" ht="16.5" customHeight="1">
      <c r="A187" s="352" t="s">
        <v>688</v>
      </c>
      <c r="B187" s="51"/>
      <c r="C187" s="53" t="s">
        <v>578</v>
      </c>
      <c r="D187" s="303">
        <f>G187</f>
        <v>0</v>
      </c>
      <c r="E187" s="47"/>
      <c r="F187" s="47"/>
      <c r="G187" s="304">
        <f>'Иные цели'!G588</f>
        <v>0</v>
      </c>
      <c r="H187" s="47"/>
      <c r="I187" s="47"/>
      <c r="J187" s="47"/>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c r="CA187" s="72"/>
      <c r="CB187" s="72"/>
      <c r="CC187" s="72"/>
      <c r="CD187" s="72"/>
      <c r="CE187" s="72"/>
      <c r="CF187" s="72"/>
      <c r="CG187" s="72"/>
      <c r="CH187" s="72"/>
      <c r="CI187" s="72"/>
      <c r="CJ187" s="72"/>
      <c r="CK187" s="72"/>
      <c r="CL187" s="72"/>
      <c r="CM187" s="72"/>
      <c r="CN187" s="72"/>
      <c r="CO187" s="72"/>
      <c r="CP187" s="72"/>
      <c r="CQ187" s="72"/>
      <c r="CR187" s="72"/>
      <c r="CS187" s="72"/>
      <c r="CT187" s="72"/>
      <c r="CU187" s="72"/>
      <c r="CV187" s="72"/>
      <c r="CW187" s="72"/>
      <c r="CX187" s="72"/>
      <c r="CY187" s="72"/>
      <c r="CZ187" s="72"/>
      <c r="DA187" s="72"/>
      <c r="DB187" s="72"/>
      <c r="DC187" s="72"/>
      <c r="DD187" s="72"/>
      <c r="DE187" s="72"/>
      <c r="DF187" s="72"/>
      <c r="DG187" s="72"/>
      <c r="DH187" s="72"/>
      <c r="DI187" s="72"/>
      <c r="DJ187" s="72"/>
      <c r="DK187" s="72"/>
      <c r="DL187" s="72"/>
      <c r="DM187" s="72"/>
      <c r="DN187" s="72"/>
      <c r="DO187" s="72"/>
      <c r="DP187" s="72"/>
      <c r="DQ187" s="72"/>
      <c r="DR187" s="72"/>
      <c r="DS187" s="72"/>
      <c r="DT187" s="72"/>
      <c r="DU187" s="72"/>
      <c r="DV187" s="72"/>
      <c r="DW187" s="72"/>
      <c r="DX187" s="72"/>
      <c r="DY187" s="72"/>
      <c r="DZ187" s="72"/>
      <c r="EA187" s="72"/>
      <c r="EB187" s="72"/>
      <c r="EC187" s="72"/>
      <c r="ED187" s="72"/>
      <c r="EE187" s="72"/>
      <c r="EF187" s="72"/>
      <c r="EG187" s="72"/>
      <c r="EH187" s="72"/>
      <c r="EI187" s="72"/>
      <c r="EJ187" s="72"/>
      <c r="EK187" s="72"/>
      <c r="EL187" s="72"/>
      <c r="EM187" s="72"/>
      <c r="EN187" s="72"/>
      <c r="EO187" s="72"/>
      <c r="EP187" s="72"/>
      <c r="EQ187" s="72"/>
      <c r="ER187" s="72"/>
      <c r="ES187" s="72"/>
      <c r="ET187" s="72"/>
      <c r="EU187" s="72"/>
      <c r="EV187" s="72"/>
      <c r="EW187" s="72"/>
      <c r="EX187" s="72"/>
      <c r="EY187" s="72"/>
      <c r="EZ187" s="72"/>
      <c r="FA187" s="72"/>
      <c r="FB187" s="72"/>
      <c r="FC187" s="72"/>
      <c r="FD187" s="72"/>
      <c r="FE187" s="72"/>
      <c r="FF187" s="72"/>
      <c r="FG187" s="72"/>
      <c r="FH187" s="72"/>
      <c r="FI187" s="72"/>
      <c r="FJ187" s="72"/>
      <c r="FK187" s="72"/>
      <c r="FL187" s="72"/>
      <c r="FM187" s="72"/>
      <c r="FN187" s="72"/>
      <c r="FO187" s="72"/>
      <c r="FP187" s="72"/>
      <c r="FQ187" s="72"/>
      <c r="FR187" s="72"/>
      <c r="FS187" s="72"/>
      <c r="FT187" s="72"/>
      <c r="FU187" s="72"/>
      <c r="FV187" s="72"/>
      <c r="FW187" s="72"/>
      <c r="FX187" s="72"/>
      <c r="FY187" s="72"/>
      <c r="FZ187" s="72"/>
      <c r="GA187" s="72"/>
      <c r="GB187" s="72"/>
      <c r="GC187" s="72"/>
      <c r="GD187" s="72"/>
      <c r="GE187" s="72"/>
    </row>
    <row r="188" spans="1:187" s="11" customFormat="1" ht="15.75" customHeight="1" hidden="1">
      <c r="A188" s="73" t="s">
        <v>369</v>
      </c>
      <c r="B188" s="48" t="s">
        <v>120</v>
      </c>
      <c r="C188" s="49" t="s">
        <v>370</v>
      </c>
      <c r="D188" s="220"/>
      <c r="E188" s="47">
        <f>'Местный бюджет'!G283</f>
        <v>0</v>
      </c>
      <c r="F188" s="47">
        <f>'Областной бюджет'!G232</f>
        <v>0</v>
      </c>
      <c r="G188" s="353"/>
      <c r="H188" s="47"/>
      <c r="I188" s="47"/>
      <c r="J188" s="4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7"/>
      <c r="AY188" s="117"/>
      <c r="AZ188" s="117"/>
      <c r="BA188" s="117"/>
      <c r="BB188" s="117"/>
      <c r="BC188" s="117"/>
      <c r="BD188" s="117"/>
      <c r="BE188" s="117"/>
      <c r="BF188" s="117"/>
      <c r="BG188" s="117"/>
      <c r="BH188" s="117"/>
      <c r="BI188" s="117"/>
      <c r="BJ188" s="117"/>
      <c r="BK188" s="117"/>
      <c r="BL188" s="117"/>
      <c r="BM188" s="117"/>
      <c r="BN188" s="117"/>
      <c r="BO188" s="117"/>
      <c r="BP188" s="117"/>
      <c r="BQ188" s="117"/>
      <c r="BR188" s="117"/>
      <c r="BS188" s="117"/>
      <c r="BT188" s="117"/>
      <c r="BU188" s="117"/>
      <c r="BV188" s="117"/>
      <c r="BW188" s="117"/>
      <c r="BX188" s="117"/>
      <c r="BY188" s="117"/>
      <c r="BZ188" s="117"/>
      <c r="CA188" s="117"/>
      <c r="CB188" s="117"/>
      <c r="CC188" s="117"/>
      <c r="CD188" s="117"/>
      <c r="CE188" s="117"/>
      <c r="CF188" s="117"/>
      <c r="CG188" s="117"/>
      <c r="CH188" s="117"/>
      <c r="CI188" s="117"/>
      <c r="CJ188" s="117"/>
      <c r="CK188" s="117"/>
      <c r="CL188" s="117"/>
      <c r="CM188" s="117"/>
      <c r="CN188" s="117"/>
      <c r="CO188" s="117"/>
      <c r="CP188" s="117"/>
      <c r="CQ188" s="117"/>
      <c r="CR188" s="117"/>
      <c r="CS188" s="117"/>
      <c r="CT188" s="117"/>
      <c r="CU188" s="117"/>
      <c r="CV188" s="117"/>
      <c r="CW188" s="117"/>
      <c r="CX188" s="117"/>
      <c r="CY188" s="117"/>
      <c r="CZ188" s="117"/>
      <c r="DA188" s="117"/>
      <c r="DB188" s="117"/>
      <c r="DC188" s="117"/>
      <c r="DD188" s="117"/>
      <c r="DE188" s="117"/>
      <c r="DF188" s="117"/>
      <c r="DG188" s="117"/>
      <c r="DH188" s="117"/>
      <c r="DI188" s="117"/>
      <c r="DJ188" s="117"/>
      <c r="DK188" s="117"/>
      <c r="DL188" s="117"/>
      <c r="DM188" s="117"/>
      <c r="DN188" s="117"/>
      <c r="DO188" s="117"/>
      <c r="DP188" s="117"/>
      <c r="DQ188" s="117"/>
      <c r="DR188" s="117"/>
      <c r="DS188" s="117"/>
      <c r="DT188" s="117"/>
      <c r="DU188" s="117"/>
      <c r="DV188" s="117"/>
      <c r="DW188" s="117"/>
      <c r="DX188" s="117"/>
      <c r="DY188" s="117"/>
      <c r="DZ188" s="117"/>
      <c r="EA188" s="117"/>
      <c r="EB188" s="117"/>
      <c r="EC188" s="117"/>
      <c r="ED188" s="117"/>
      <c r="EE188" s="117"/>
      <c r="EF188" s="117"/>
      <c r="EG188" s="117"/>
      <c r="EH188" s="117"/>
      <c r="EI188" s="117"/>
      <c r="EJ188" s="117"/>
      <c r="EK188" s="117"/>
      <c r="EL188" s="117"/>
      <c r="EM188" s="117"/>
      <c r="EN188" s="117"/>
      <c r="EO188" s="117"/>
      <c r="EP188" s="117"/>
      <c r="EQ188" s="117"/>
      <c r="ER188" s="117"/>
      <c r="ES188" s="117"/>
      <c r="ET188" s="117"/>
      <c r="EU188" s="117"/>
      <c r="EV188" s="117"/>
      <c r="EW188" s="117"/>
      <c r="EX188" s="117"/>
      <c r="EY188" s="117"/>
      <c r="EZ188" s="117"/>
      <c r="FA188" s="117"/>
      <c r="FB188" s="117"/>
      <c r="FC188" s="117"/>
      <c r="FD188" s="117"/>
      <c r="FE188" s="117"/>
      <c r="FF188" s="117"/>
      <c r="FG188" s="117"/>
      <c r="FH188" s="117"/>
      <c r="FI188" s="117"/>
      <c r="FJ188" s="117"/>
      <c r="FK188" s="117"/>
      <c r="FL188" s="117"/>
      <c r="FM188" s="117"/>
      <c r="FN188" s="117"/>
      <c r="FO188" s="117"/>
      <c r="FP188" s="117"/>
      <c r="FQ188" s="117"/>
      <c r="FR188" s="117"/>
      <c r="FS188" s="117"/>
      <c r="FT188" s="117"/>
      <c r="FU188" s="117"/>
      <c r="FV188" s="117"/>
      <c r="FW188" s="117"/>
      <c r="FX188" s="117"/>
      <c r="FY188" s="117"/>
      <c r="FZ188" s="117"/>
      <c r="GA188" s="117"/>
      <c r="GB188" s="117"/>
      <c r="GC188" s="117"/>
      <c r="GD188" s="117"/>
      <c r="GE188" s="117"/>
    </row>
    <row r="189" spans="1:187" s="11" customFormat="1" ht="45" customHeight="1">
      <c r="A189" s="73" t="s">
        <v>121</v>
      </c>
      <c r="B189" s="48" t="s">
        <v>122</v>
      </c>
      <c r="C189" s="49" t="s">
        <v>35</v>
      </c>
      <c r="D189" s="220">
        <f>SUM(E189:J189)</f>
        <v>13999297.673419999</v>
      </c>
      <c r="E189" s="47">
        <f>'Местный бюджет'!G298</f>
        <v>2104672.79342</v>
      </c>
      <c r="F189" s="47">
        <f>'Областной бюджет'!G248</f>
        <v>11894624.879999999</v>
      </c>
      <c r="G189" s="443">
        <f>G197</f>
        <v>0</v>
      </c>
      <c r="H189" s="47"/>
      <c r="I189" s="47"/>
      <c r="J189" s="4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17"/>
      <c r="AY189" s="117"/>
      <c r="AZ189" s="117"/>
      <c r="BA189" s="117"/>
      <c r="BB189" s="117"/>
      <c r="BC189" s="117"/>
      <c r="BD189" s="117"/>
      <c r="BE189" s="117"/>
      <c r="BF189" s="117"/>
      <c r="BG189" s="117"/>
      <c r="BH189" s="117"/>
      <c r="BI189" s="117"/>
      <c r="BJ189" s="117"/>
      <c r="BK189" s="117"/>
      <c r="BL189" s="117"/>
      <c r="BM189" s="117"/>
      <c r="BN189" s="117"/>
      <c r="BO189" s="117"/>
      <c r="BP189" s="117"/>
      <c r="BQ189" s="117"/>
      <c r="BR189" s="117"/>
      <c r="BS189" s="117"/>
      <c r="BT189" s="117"/>
      <c r="BU189" s="117"/>
      <c r="BV189" s="117"/>
      <c r="BW189" s="117"/>
      <c r="BX189" s="117"/>
      <c r="BY189" s="117"/>
      <c r="BZ189" s="117"/>
      <c r="CA189" s="117"/>
      <c r="CB189" s="117"/>
      <c r="CC189" s="117"/>
      <c r="CD189" s="117"/>
      <c r="CE189" s="117"/>
      <c r="CF189" s="117"/>
      <c r="CG189" s="117"/>
      <c r="CH189" s="117"/>
      <c r="CI189" s="117"/>
      <c r="CJ189" s="117"/>
      <c r="CK189" s="117"/>
      <c r="CL189" s="117"/>
      <c r="CM189" s="117"/>
      <c r="CN189" s="117"/>
      <c r="CO189" s="117"/>
      <c r="CP189" s="117"/>
      <c r="CQ189" s="117"/>
      <c r="CR189" s="117"/>
      <c r="CS189" s="117"/>
      <c r="CT189" s="117"/>
      <c r="CU189" s="117"/>
      <c r="CV189" s="117"/>
      <c r="CW189" s="117"/>
      <c r="CX189" s="117"/>
      <c r="CY189" s="117"/>
      <c r="CZ189" s="117"/>
      <c r="DA189" s="117"/>
      <c r="DB189" s="117"/>
      <c r="DC189" s="117"/>
      <c r="DD189" s="117"/>
      <c r="DE189" s="117"/>
      <c r="DF189" s="117"/>
      <c r="DG189" s="117"/>
      <c r="DH189" s="117"/>
      <c r="DI189" s="117"/>
      <c r="DJ189" s="117"/>
      <c r="DK189" s="117"/>
      <c r="DL189" s="117"/>
      <c r="DM189" s="117"/>
      <c r="DN189" s="117"/>
      <c r="DO189" s="117"/>
      <c r="DP189" s="117"/>
      <c r="DQ189" s="117"/>
      <c r="DR189" s="117"/>
      <c r="DS189" s="117"/>
      <c r="DT189" s="117"/>
      <c r="DU189" s="117"/>
      <c r="DV189" s="117"/>
      <c r="DW189" s="117"/>
      <c r="DX189" s="117"/>
      <c r="DY189" s="117"/>
      <c r="DZ189" s="117"/>
      <c r="EA189" s="117"/>
      <c r="EB189" s="117"/>
      <c r="EC189" s="117"/>
      <c r="ED189" s="117"/>
      <c r="EE189" s="117"/>
      <c r="EF189" s="117"/>
      <c r="EG189" s="117"/>
      <c r="EH189" s="117"/>
      <c r="EI189" s="117"/>
      <c r="EJ189" s="117"/>
      <c r="EK189" s="117"/>
      <c r="EL189" s="117"/>
      <c r="EM189" s="117"/>
      <c r="EN189" s="117"/>
      <c r="EO189" s="117"/>
      <c r="EP189" s="117"/>
      <c r="EQ189" s="117"/>
      <c r="ER189" s="117"/>
      <c r="ES189" s="117"/>
      <c r="ET189" s="117"/>
      <c r="EU189" s="117"/>
      <c r="EV189" s="117"/>
      <c r="EW189" s="117"/>
      <c r="EX189" s="117"/>
      <c r="EY189" s="117"/>
      <c r="EZ189" s="117"/>
      <c r="FA189" s="117"/>
      <c r="FB189" s="117"/>
      <c r="FC189" s="117"/>
      <c r="FD189" s="117"/>
      <c r="FE189" s="117"/>
      <c r="FF189" s="117"/>
      <c r="FG189" s="117"/>
      <c r="FH189" s="117"/>
      <c r="FI189" s="117"/>
      <c r="FJ189" s="117"/>
      <c r="FK189" s="117"/>
      <c r="FL189" s="117"/>
      <c r="FM189" s="117"/>
      <c r="FN189" s="117"/>
      <c r="FO189" s="117"/>
      <c r="FP189" s="117"/>
      <c r="FQ189" s="117"/>
      <c r="FR189" s="117"/>
      <c r="FS189" s="117"/>
      <c r="FT189" s="117"/>
      <c r="FU189" s="117"/>
      <c r="FV189" s="117"/>
      <c r="FW189" s="117"/>
      <c r="FX189" s="117"/>
      <c r="FY189" s="117"/>
      <c r="FZ189" s="117"/>
      <c r="GA189" s="117"/>
      <c r="GB189" s="117"/>
      <c r="GC189" s="117"/>
      <c r="GD189" s="117"/>
      <c r="GE189" s="117"/>
    </row>
    <row r="190" spans="1:187" s="11" customFormat="1" ht="15" hidden="1">
      <c r="A190" s="91" t="s">
        <v>83</v>
      </c>
      <c r="B190" s="69" t="s">
        <v>123</v>
      </c>
      <c r="C190" s="70">
        <v>300</v>
      </c>
      <c r="D190" s="220"/>
      <c r="E190" s="68"/>
      <c r="F190" s="68"/>
      <c r="G190" s="68"/>
      <c r="H190" s="68"/>
      <c r="I190" s="68"/>
      <c r="J190" s="68"/>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117"/>
      <c r="AU190" s="117"/>
      <c r="AV190" s="117"/>
      <c r="AW190" s="117"/>
      <c r="AX190" s="117"/>
      <c r="AY190" s="117"/>
      <c r="AZ190" s="117"/>
      <c r="BA190" s="117"/>
      <c r="BB190" s="117"/>
      <c r="BC190" s="117"/>
      <c r="BD190" s="117"/>
      <c r="BE190" s="117"/>
      <c r="BF190" s="117"/>
      <c r="BG190" s="117"/>
      <c r="BH190" s="117"/>
      <c r="BI190" s="117"/>
      <c r="BJ190" s="117"/>
      <c r="BK190" s="117"/>
      <c r="BL190" s="117"/>
      <c r="BM190" s="117"/>
      <c r="BN190" s="117"/>
      <c r="BO190" s="117"/>
      <c r="BP190" s="117"/>
      <c r="BQ190" s="117"/>
      <c r="BR190" s="117"/>
      <c r="BS190" s="117"/>
      <c r="BT190" s="117"/>
      <c r="BU190" s="117"/>
      <c r="BV190" s="117"/>
      <c r="BW190" s="117"/>
      <c r="BX190" s="117"/>
      <c r="BY190" s="117"/>
      <c r="BZ190" s="117"/>
      <c r="CA190" s="117"/>
      <c r="CB190" s="117"/>
      <c r="CC190" s="117"/>
      <c r="CD190" s="117"/>
      <c r="CE190" s="117"/>
      <c r="CF190" s="117"/>
      <c r="CG190" s="117"/>
      <c r="CH190" s="117"/>
      <c r="CI190" s="117"/>
      <c r="CJ190" s="117"/>
      <c r="CK190" s="117"/>
      <c r="CL190" s="117"/>
      <c r="CM190" s="117"/>
      <c r="CN190" s="117"/>
      <c r="CO190" s="117"/>
      <c r="CP190" s="117"/>
      <c r="CQ190" s="117"/>
      <c r="CR190" s="117"/>
      <c r="CS190" s="117"/>
      <c r="CT190" s="117"/>
      <c r="CU190" s="117"/>
      <c r="CV190" s="117"/>
      <c r="CW190" s="117"/>
      <c r="CX190" s="117"/>
      <c r="CY190" s="117"/>
      <c r="CZ190" s="117"/>
      <c r="DA190" s="117"/>
      <c r="DB190" s="117"/>
      <c r="DC190" s="117"/>
      <c r="DD190" s="117"/>
      <c r="DE190" s="117"/>
      <c r="DF190" s="117"/>
      <c r="DG190" s="117"/>
      <c r="DH190" s="117"/>
      <c r="DI190" s="117"/>
      <c r="DJ190" s="117"/>
      <c r="DK190" s="117"/>
      <c r="DL190" s="117"/>
      <c r="DM190" s="117"/>
      <c r="DN190" s="117"/>
      <c r="DO190" s="117"/>
      <c r="DP190" s="117"/>
      <c r="DQ190" s="117"/>
      <c r="DR190" s="117"/>
      <c r="DS190" s="117"/>
      <c r="DT190" s="117"/>
      <c r="DU190" s="117"/>
      <c r="DV190" s="117"/>
      <c r="DW190" s="117"/>
      <c r="DX190" s="117"/>
      <c r="DY190" s="117"/>
      <c r="DZ190" s="117"/>
      <c r="EA190" s="117"/>
      <c r="EB190" s="117"/>
      <c r="EC190" s="117"/>
      <c r="ED190" s="117"/>
      <c r="EE190" s="117"/>
      <c r="EF190" s="117"/>
      <c r="EG190" s="117"/>
      <c r="EH190" s="117"/>
      <c r="EI190" s="117"/>
      <c r="EJ190" s="117"/>
      <c r="EK190" s="117"/>
      <c r="EL190" s="117"/>
      <c r="EM190" s="117"/>
      <c r="EN190" s="117"/>
      <c r="EO190" s="117"/>
      <c r="EP190" s="117"/>
      <c r="EQ190" s="117"/>
      <c r="ER190" s="117"/>
      <c r="ES190" s="117"/>
      <c r="ET190" s="117"/>
      <c r="EU190" s="117"/>
      <c r="EV190" s="117"/>
      <c r="EW190" s="117"/>
      <c r="EX190" s="117"/>
      <c r="EY190" s="117"/>
      <c r="EZ190" s="117"/>
      <c r="FA190" s="117"/>
      <c r="FB190" s="117"/>
      <c r="FC190" s="117"/>
      <c r="FD190" s="117"/>
      <c r="FE190" s="117"/>
      <c r="FF190" s="117"/>
      <c r="FG190" s="117"/>
      <c r="FH190" s="117"/>
      <c r="FI190" s="117"/>
      <c r="FJ190" s="117"/>
      <c r="FK190" s="117"/>
      <c r="FL190" s="117"/>
      <c r="FM190" s="117"/>
      <c r="FN190" s="117"/>
      <c r="FO190" s="117"/>
      <c r="FP190" s="117"/>
      <c r="FQ190" s="117"/>
      <c r="FR190" s="117"/>
      <c r="FS190" s="117"/>
      <c r="FT190" s="117"/>
      <c r="FU190" s="117"/>
      <c r="FV190" s="117"/>
      <c r="FW190" s="117"/>
      <c r="FX190" s="117"/>
      <c r="FY190" s="117"/>
      <c r="FZ190" s="117"/>
      <c r="GA190" s="117"/>
      <c r="GB190" s="117"/>
      <c r="GC190" s="117"/>
      <c r="GD190" s="117"/>
      <c r="GE190" s="117"/>
    </row>
    <row r="191" spans="1:187" s="11" customFormat="1" ht="46.5" hidden="1">
      <c r="A191" s="73" t="s">
        <v>124</v>
      </c>
      <c r="B191" s="48" t="s">
        <v>125</v>
      </c>
      <c r="C191" s="49">
        <v>340</v>
      </c>
      <c r="D191" s="220">
        <f aca="true" t="shared" si="3" ref="D191:D199">SUM(E191:J191)</f>
        <v>0</v>
      </c>
      <c r="E191" s="47"/>
      <c r="F191" s="47"/>
      <c r="G191" s="47"/>
      <c r="H191" s="47"/>
      <c r="I191" s="47"/>
      <c r="J191" s="4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7"/>
      <c r="AW191" s="117"/>
      <c r="AX191" s="117"/>
      <c r="AY191" s="117"/>
      <c r="AZ191" s="117"/>
      <c r="BA191" s="117"/>
      <c r="BB191" s="117"/>
      <c r="BC191" s="117"/>
      <c r="BD191" s="117"/>
      <c r="BE191" s="117"/>
      <c r="BF191" s="117"/>
      <c r="BG191" s="117"/>
      <c r="BH191" s="117"/>
      <c r="BI191" s="117"/>
      <c r="BJ191" s="117"/>
      <c r="BK191" s="117"/>
      <c r="BL191" s="117"/>
      <c r="BM191" s="117"/>
      <c r="BN191" s="117"/>
      <c r="BO191" s="117"/>
      <c r="BP191" s="117"/>
      <c r="BQ191" s="117"/>
      <c r="BR191" s="117"/>
      <c r="BS191" s="117"/>
      <c r="BT191" s="117"/>
      <c r="BU191" s="117"/>
      <c r="BV191" s="117"/>
      <c r="BW191" s="117"/>
      <c r="BX191" s="117"/>
      <c r="BY191" s="117"/>
      <c r="BZ191" s="117"/>
      <c r="CA191" s="117"/>
      <c r="CB191" s="117"/>
      <c r="CC191" s="117"/>
      <c r="CD191" s="117"/>
      <c r="CE191" s="117"/>
      <c r="CF191" s="117"/>
      <c r="CG191" s="117"/>
      <c r="CH191" s="117"/>
      <c r="CI191" s="117"/>
      <c r="CJ191" s="117"/>
      <c r="CK191" s="117"/>
      <c r="CL191" s="117"/>
      <c r="CM191" s="117"/>
      <c r="CN191" s="117"/>
      <c r="CO191" s="117"/>
      <c r="CP191" s="117"/>
      <c r="CQ191" s="117"/>
      <c r="CR191" s="117"/>
      <c r="CS191" s="117"/>
      <c r="CT191" s="117"/>
      <c r="CU191" s="117"/>
      <c r="CV191" s="117"/>
      <c r="CW191" s="117"/>
      <c r="CX191" s="117"/>
      <c r="CY191" s="117"/>
      <c r="CZ191" s="117"/>
      <c r="DA191" s="117"/>
      <c r="DB191" s="117"/>
      <c r="DC191" s="117"/>
      <c r="DD191" s="117"/>
      <c r="DE191" s="117"/>
      <c r="DF191" s="117"/>
      <c r="DG191" s="117"/>
      <c r="DH191" s="117"/>
      <c r="DI191" s="117"/>
      <c r="DJ191" s="117"/>
      <c r="DK191" s="117"/>
      <c r="DL191" s="117"/>
      <c r="DM191" s="117"/>
      <c r="DN191" s="117"/>
      <c r="DO191" s="117"/>
      <c r="DP191" s="117"/>
      <c r="DQ191" s="117"/>
      <c r="DR191" s="117"/>
      <c r="DS191" s="117"/>
      <c r="DT191" s="117"/>
      <c r="DU191" s="117"/>
      <c r="DV191" s="117"/>
      <c r="DW191" s="117"/>
      <c r="DX191" s="117"/>
      <c r="DY191" s="117"/>
      <c r="DZ191" s="117"/>
      <c r="EA191" s="117"/>
      <c r="EB191" s="117"/>
      <c r="EC191" s="117"/>
      <c r="ED191" s="117"/>
      <c r="EE191" s="117"/>
      <c r="EF191" s="117"/>
      <c r="EG191" s="117"/>
      <c r="EH191" s="117"/>
      <c r="EI191" s="117"/>
      <c r="EJ191" s="117"/>
      <c r="EK191" s="117"/>
      <c r="EL191" s="117"/>
      <c r="EM191" s="117"/>
      <c r="EN191" s="117"/>
      <c r="EO191" s="117"/>
      <c r="EP191" s="117"/>
      <c r="EQ191" s="117"/>
      <c r="ER191" s="117"/>
      <c r="ES191" s="117"/>
      <c r="ET191" s="117"/>
      <c r="EU191" s="117"/>
      <c r="EV191" s="117"/>
      <c r="EW191" s="117"/>
      <c r="EX191" s="117"/>
      <c r="EY191" s="117"/>
      <c r="EZ191" s="117"/>
      <c r="FA191" s="117"/>
      <c r="FB191" s="117"/>
      <c r="FC191" s="117"/>
      <c r="FD191" s="117"/>
      <c r="FE191" s="117"/>
      <c r="FF191" s="117"/>
      <c r="FG191" s="117"/>
      <c r="FH191" s="117"/>
      <c r="FI191" s="117"/>
      <c r="FJ191" s="117"/>
      <c r="FK191" s="117"/>
      <c r="FL191" s="117"/>
      <c r="FM191" s="117"/>
      <c r="FN191" s="117"/>
      <c r="FO191" s="117"/>
      <c r="FP191" s="117"/>
      <c r="FQ191" s="117"/>
      <c r="FR191" s="117"/>
      <c r="FS191" s="117"/>
      <c r="FT191" s="117"/>
      <c r="FU191" s="117"/>
      <c r="FV191" s="117"/>
      <c r="FW191" s="117"/>
      <c r="FX191" s="117"/>
      <c r="FY191" s="117"/>
      <c r="FZ191" s="117"/>
      <c r="GA191" s="117"/>
      <c r="GB191" s="117"/>
      <c r="GC191" s="117"/>
      <c r="GD191" s="117"/>
      <c r="GE191" s="117"/>
    </row>
    <row r="192" spans="1:187" s="11" customFormat="1" ht="78" hidden="1">
      <c r="A192" s="73" t="s">
        <v>126</v>
      </c>
      <c r="B192" s="48" t="s">
        <v>127</v>
      </c>
      <c r="C192" s="49">
        <v>350</v>
      </c>
      <c r="D192" s="220">
        <f t="shared" si="3"/>
        <v>0</v>
      </c>
      <c r="E192" s="47"/>
      <c r="F192" s="47"/>
      <c r="G192" s="47"/>
      <c r="H192" s="47"/>
      <c r="I192" s="47"/>
      <c r="J192" s="4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117"/>
      <c r="BB192" s="117"/>
      <c r="BC192" s="117"/>
      <c r="BD192" s="117"/>
      <c r="BE192" s="117"/>
      <c r="BF192" s="117"/>
      <c r="BG192" s="117"/>
      <c r="BH192" s="117"/>
      <c r="BI192" s="117"/>
      <c r="BJ192" s="117"/>
      <c r="BK192" s="117"/>
      <c r="BL192" s="117"/>
      <c r="BM192" s="117"/>
      <c r="BN192" s="117"/>
      <c r="BO192" s="117"/>
      <c r="BP192" s="117"/>
      <c r="BQ192" s="117"/>
      <c r="BR192" s="117"/>
      <c r="BS192" s="117"/>
      <c r="BT192" s="117"/>
      <c r="BU192" s="117"/>
      <c r="BV192" s="117"/>
      <c r="BW192" s="117"/>
      <c r="BX192" s="117"/>
      <c r="BY192" s="117"/>
      <c r="BZ192" s="117"/>
      <c r="CA192" s="117"/>
      <c r="CB192" s="117"/>
      <c r="CC192" s="117"/>
      <c r="CD192" s="117"/>
      <c r="CE192" s="117"/>
      <c r="CF192" s="117"/>
      <c r="CG192" s="117"/>
      <c r="CH192" s="117"/>
      <c r="CI192" s="117"/>
      <c r="CJ192" s="117"/>
      <c r="CK192" s="117"/>
      <c r="CL192" s="117"/>
      <c r="CM192" s="117"/>
      <c r="CN192" s="117"/>
      <c r="CO192" s="117"/>
      <c r="CP192" s="117"/>
      <c r="CQ192" s="117"/>
      <c r="CR192" s="117"/>
      <c r="CS192" s="117"/>
      <c r="CT192" s="117"/>
      <c r="CU192" s="117"/>
      <c r="CV192" s="117"/>
      <c r="CW192" s="117"/>
      <c r="CX192" s="117"/>
      <c r="CY192" s="117"/>
      <c r="CZ192" s="117"/>
      <c r="DA192" s="117"/>
      <c r="DB192" s="117"/>
      <c r="DC192" s="117"/>
      <c r="DD192" s="117"/>
      <c r="DE192" s="117"/>
      <c r="DF192" s="117"/>
      <c r="DG192" s="117"/>
      <c r="DH192" s="117"/>
      <c r="DI192" s="117"/>
      <c r="DJ192" s="117"/>
      <c r="DK192" s="117"/>
      <c r="DL192" s="117"/>
      <c r="DM192" s="117"/>
      <c r="DN192" s="117"/>
      <c r="DO192" s="117"/>
      <c r="DP192" s="117"/>
      <c r="DQ192" s="117"/>
      <c r="DR192" s="117"/>
      <c r="DS192" s="117"/>
      <c r="DT192" s="117"/>
      <c r="DU192" s="117"/>
      <c r="DV192" s="117"/>
      <c r="DW192" s="117"/>
      <c r="DX192" s="117"/>
      <c r="DY192" s="117"/>
      <c r="DZ192" s="117"/>
      <c r="EA192" s="117"/>
      <c r="EB192" s="117"/>
      <c r="EC192" s="117"/>
      <c r="ED192" s="117"/>
      <c r="EE192" s="117"/>
      <c r="EF192" s="117"/>
      <c r="EG192" s="117"/>
      <c r="EH192" s="117"/>
      <c r="EI192" s="117"/>
      <c r="EJ192" s="117"/>
      <c r="EK192" s="117"/>
      <c r="EL192" s="117"/>
      <c r="EM192" s="117"/>
      <c r="EN192" s="117"/>
      <c r="EO192" s="117"/>
      <c r="EP192" s="117"/>
      <c r="EQ192" s="117"/>
      <c r="ER192" s="117"/>
      <c r="ES192" s="117"/>
      <c r="ET192" s="117"/>
      <c r="EU192" s="117"/>
      <c r="EV192" s="117"/>
      <c r="EW192" s="117"/>
      <c r="EX192" s="117"/>
      <c r="EY192" s="117"/>
      <c r="EZ192" s="117"/>
      <c r="FA192" s="117"/>
      <c r="FB192" s="117"/>
      <c r="FC192" s="117"/>
      <c r="FD192" s="117"/>
      <c r="FE192" s="117"/>
      <c r="FF192" s="117"/>
      <c r="FG192" s="117"/>
      <c r="FH192" s="117"/>
      <c r="FI192" s="117"/>
      <c r="FJ192" s="117"/>
      <c r="FK192" s="117"/>
      <c r="FL192" s="117"/>
      <c r="FM192" s="117"/>
      <c r="FN192" s="117"/>
      <c r="FO192" s="117"/>
      <c r="FP192" s="117"/>
      <c r="FQ192" s="117"/>
      <c r="FR192" s="117"/>
      <c r="FS192" s="117"/>
      <c r="FT192" s="117"/>
      <c r="FU192" s="117"/>
      <c r="FV192" s="117"/>
      <c r="FW192" s="117"/>
      <c r="FX192" s="117"/>
      <c r="FY192" s="117"/>
      <c r="FZ192" s="117"/>
      <c r="GA192" s="117"/>
      <c r="GB192" s="117"/>
      <c r="GC192" s="117"/>
      <c r="GD192" s="117"/>
      <c r="GE192" s="117"/>
    </row>
    <row r="193" spans="1:187" s="11" customFormat="1" ht="30.75" hidden="1">
      <c r="A193" s="73" t="s">
        <v>128</v>
      </c>
      <c r="B193" s="48" t="s">
        <v>129</v>
      </c>
      <c r="C193" s="49">
        <v>360</v>
      </c>
      <c r="D193" s="220">
        <f t="shared" si="3"/>
        <v>0</v>
      </c>
      <c r="E193" s="47"/>
      <c r="F193" s="47"/>
      <c r="G193" s="47"/>
      <c r="H193" s="47"/>
      <c r="I193" s="47"/>
      <c r="J193" s="4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c r="AY193" s="117"/>
      <c r="AZ193" s="117"/>
      <c r="BA193" s="117"/>
      <c r="BB193" s="117"/>
      <c r="BC193" s="117"/>
      <c r="BD193" s="117"/>
      <c r="BE193" s="117"/>
      <c r="BF193" s="117"/>
      <c r="BG193" s="117"/>
      <c r="BH193" s="117"/>
      <c r="BI193" s="117"/>
      <c r="BJ193" s="117"/>
      <c r="BK193" s="117"/>
      <c r="BL193" s="117"/>
      <c r="BM193" s="117"/>
      <c r="BN193" s="117"/>
      <c r="BO193" s="117"/>
      <c r="BP193" s="117"/>
      <c r="BQ193" s="117"/>
      <c r="BR193" s="117"/>
      <c r="BS193" s="117"/>
      <c r="BT193" s="117"/>
      <c r="BU193" s="117"/>
      <c r="BV193" s="117"/>
      <c r="BW193" s="117"/>
      <c r="BX193" s="117"/>
      <c r="BY193" s="117"/>
      <c r="BZ193" s="117"/>
      <c r="CA193" s="117"/>
      <c r="CB193" s="117"/>
      <c r="CC193" s="117"/>
      <c r="CD193" s="117"/>
      <c r="CE193" s="117"/>
      <c r="CF193" s="117"/>
      <c r="CG193" s="117"/>
      <c r="CH193" s="117"/>
      <c r="CI193" s="117"/>
      <c r="CJ193" s="117"/>
      <c r="CK193" s="117"/>
      <c r="CL193" s="117"/>
      <c r="CM193" s="117"/>
      <c r="CN193" s="117"/>
      <c r="CO193" s="117"/>
      <c r="CP193" s="117"/>
      <c r="CQ193" s="117"/>
      <c r="CR193" s="117"/>
      <c r="CS193" s="117"/>
      <c r="CT193" s="117"/>
      <c r="CU193" s="117"/>
      <c r="CV193" s="117"/>
      <c r="CW193" s="117"/>
      <c r="CX193" s="117"/>
      <c r="CY193" s="117"/>
      <c r="CZ193" s="117"/>
      <c r="DA193" s="117"/>
      <c r="DB193" s="117"/>
      <c r="DC193" s="117"/>
      <c r="DD193" s="117"/>
      <c r="DE193" s="117"/>
      <c r="DF193" s="117"/>
      <c r="DG193" s="117"/>
      <c r="DH193" s="117"/>
      <c r="DI193" s="117"/>
      <c r="DJ193" s="117"/>
      <c r="DK193" s="117"/>
      <c r="DL193" s="117"/>
      <c r="DM193" s="117"/>
      <c r="DN193" s="117"/>
      <c r="DO193" s="117"/>
      <c r="DP193" s="117"/>
      <c r="DQ193" s="117"/>
      <c r="DR193" s="117"/>
      <c r="DS193" s="117"/>
      <c r="DT193" s="117"/>
      <c r="DU193" s="117"/>
      <c r="DV193" s="117"/>
      <c r="DW193" s="117"/>
      <c r="DX193" s="117"/>
      <c r="DY193" s="117"/>
      <c r="DZ193" s="117"/>
      <c r="EA193" s="117"/>
      <c r="EB193" s="117"/>
      <c r="EC193" s="117"/>
      <c r="ED193" s="117"/>
      <c r="EE193" s="117"/>
      <c r="EF193" s="117"/>
      <c r="EG193" s="117"/>
      <c r="EH193" s="117"/>
      <c r="EI193" s="117"/>
      <c r="EJ193" s="117"/>
      <c r="EK193" s="117"/>
      <c r="EL193" s="117"/>
      <c r="EM193" s="117"/>
      <c r="EN193" s="117"/>
      <c r="EO193" s="117"/>
      <c r="EP193" s="117"/>
      <c r="EQ193" s="117"/>
      <c r="ER193" s="117"/>
      <c r="ES193" s="117"/>
      <c r="ET193" s="117"/>
      <c r="EU193" s="117"/>
      <c r="EV193" s="117"/>
      <c r="EW193" s="117"/>
      <c r="EX193" s="117"/>
      <c r="EY193" s="117"/>
      <c r="EZ193" s="117"/>
      <c r="FA193" s="117"/>
      <c r="FB193" s="117"/>
      <c r="FC193" s="117"/>
      <c r="FD193" s="117"/>
      <c r="FE193" s="117"/>
      <c r="FF193" s="117"/>
      <c r="FG193" s="117"/>
      <c r="FH193" s="117"/>
      <c r="FI193" s="117"/>
      <c r="FJ193" s="117"/>
      <c r="FK193" s="117"/>
      <c r="FL193" s="117"/>
      <c r="FM193" s="117"/>
      <c r="FN193" s="117"/>
      <c r="FO193" s="117"/>
      <c r="FP193" s="117"/>
      <c r="FQ193" s="117"/>
      <c r="FR193" s="117"/>
      <c r="FS193" s="117"/>
      <c r="FT193" s="117"/>
      <c r="FU193" s="117"/>
      <c r="FV193" s="117"/>
      <c r="FW193" s="117"/>
      <c r="FX193" s="117"/>
      <c r="FY193" s="117"/>
      <c r="FZ193" s="117"/>
      <c r="GA193" s="117"/>
      <c r="GB193" s="117"/>
      <c r="GC193" s="117"/>
      <c r="GD193" s="117"/>
      <c r="GE193" s="117"/>
    </row>
    <row r="194" spans="1:187" s="11" customFormat="1" ht="15" hidden="1">
      <c r="A194" s="313" t="s">
        <v>526</v>
      </c>
      <c r="B194" s="48" t="s">
        <v>122</v>
      </c>
      <c r="C194" s="49" t="s">
        <v>371</v>
      </c>
      <c r="D194" s="220">
        <f>SUM(E194:J194)</f>
        <v>0</v>
      </c>
      <c r="E194" s="47">
        <f>'Местный бюджет'!G302</f>
        <v>0</v>
      </c>
      <c r="F194" s="47">
        <f>'Областной бюджет'!G252</f>
        <v>0</v>
      </c>
      <c r="G194" s="47"/>
      <c r="H194" s="47"/>
      <c r="I194" s="47"/>
      <c r="J194" s="4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c r="AV194" s="117"/>
      <c r="AW194" s="117"/>
      <c r="AX194" s="117"/>
      <c r="AY194" s="117"/>
      <c r="AZ194" s="117"/>
      <c r="BA194" s="117"/>
      <c r="BB194" s="117"/>
      <c r="BC194" s="117"/>
      <c r="BD194" s="117"/>
      <c r="BE194" s="117"/>
      <c r="BF194" s="117"/>
      <c r="BG194" s="117"/>
      <c r="BH194" s="117"/>
      <c r="BI194" s="117"/>
      <c r="BJ194" s="117"/>
      <c r="BK194" s="117"/>
      <c r="BL194" s="117"/>
      <c r="BM194" s="117"/>
      <c r="BN194" s="117"/>
      <c r="BO194" s="117"/>
      <c r="BP194" s="117"/>
      <c r="BQ194" s="117"/>
      <c r="BR194" s="117"/>
      <c r="BS194" s="117"/>
      <c r="BT194" s="117"/>
      <c r="BU194" s="117"/>
      <c r="BV194" s="117"/>
      <c r="BW194" s="117"/>
      <c r="BX194" s="117"/>
      <c r="BY194" s="117"/>
      <c r="BZ194" s="117"/>
      <c r="CA194" s="117"/>
      <c r="CB194" s="117"/>
      <c r="CC194" s="117"/>
      <c r="CD194" s="117"/>
      <c r="CE194" s="117"/>
      <c r="CF194" s="117"/>
      <c r="CG194" s="117"/>
      <c r="CH194" s="117"/>
      <c r="CI194" s="117"/>
      <c r="CJ194" s="117"/>
      <c r="CK194" s="117"/>
      <c r="CL194" s="117"/>
      <c r="CM194" s="117"/>
      <c r="CN194" s="117"/>
      <c r="CO194" s="117"/>
      <c r="CP194" s="117"/>
      <c r="CQ194" s="117"/>
      <c r="CR194" s="117"/>
      <c r="CS194" s="117"/>
      <c r="CT194" s="117"/>
      <c r="CU194" s="117"/>
      <c r="CV194" s="117"/>
      <c r="CW194" s="117"/>
      <c r="CX194" s="117"/>
      <c r="CY194" s="117"/>
      <c r="CZ194" s="117"/>
      <c r="DA194" s="117"/>
      <c r="DB194" s="117"/>
      <c r="DC194" s="117"/>
      <c r="DD194" s="117"/>
      <c r="DE194" s="117"/>
      <c r="DF194" s="117"/>
      <c r="DG194" s="117"/>
      <c r="DH194" s="117"/>
      <c r="DI194" s="117"/>
      <c r="DJ194" s="117"/>
      <c r="DK194" s="117"/>
      <c r="DL194" s="117"/>
      <c r="DM194" s="117"/>
      <c r="DN194" s="117"/>
      <c r="DO194" s="117"/>
      <c r="DP194" s="117"/>
      <c r="DQ194" s="117"/>
      <c r="DR194" s="117"/>
      <c r="DS194" s="117"/>
      <c r="DT194" s="117"/>
      <c r="DU194" s="117"/>
      <c r="DV194" s="117"/>
      <c r="DW194" s="117"/>
      <c r="DX194" s="117"/>
      <c r="DY194" s="117"/>
      <c r="DZ194" s="117"/>
      <c r="EA194" s="117"/>
      <c r="EB194" s="117"/>
      <c r="EC194" s="117"/>
      <c r="ED194" s="117"/>
      <c r="EE194" s="117"/>
      <c r="EF194" s="117"/>
      <c r="EG194" s="117"/>
      <c r="EH194" s="117"/>
      <c r="EI194" s="117"/>
      <c r="EJ194" s="117"/>
      <c r="EK194" s="117"/>
      <c r="EL194" s="117"/>
      <c r="EM194" s="117"/>
      <c r="EN194" s="117"/>
      <c r="EO194" s="117"/>
      <c r="EP194" s="117"/>
      <c r="EQ194" s="117"/>
      <c r="ER194" s="117"/>
      <c r="ES194" s="117"/>
      <c r="ET194" s="117"/>
      <c r="EU194" s="117"/>
      <c r="EV194" s="117"/>
      <c r="EW194" s="117"/>
      <c r="EX194" s="117"/>
      <c r="EY194" s="117"/>
      <c r="EZ194" s="117"/>
      <c r="FA194" s="117"/>
      <c r="FB194" s="117"/>
      <c r="FC194" s="117"/>
      <c r="FD194" s="117"/>
      <c r="FE194" s="117"/>
      <c r="FF194" s="117"/>
      <c r="FG194" s="117"/>
      <c r="FH194" s="117"/>
      <c r="FI194" s="117"/>
      <c r="FJ194" s="117"/>
      <c r="FK194" s="117"/>
      <c r="FL194" s="117"/>
      <c r="FM194" s="117"/>
      <c r="FN194" s="117"/>
      <c r="FO194" s="117"/>
      <c r="FP194" s="117"/>
      <c r="FQ194" s="117"/>
      <c r="FR194" s="117"/>
      <c r="FS194" s="117"/>
      <c r="FT194" s="117"/>
      <c r="FU194" s="117"/>
      <c r="FV194" s="117"/>
      <c r="FW194" s="117"/>
      <c r="FX194" s="117"/>
      <c r="FY194" s="117"/>
      <c r="FZ194" s="117"/>
      <c r="GA194" s="117"/>
      <c r="GB194" s="117"/>
      <c r="GC194" s="117"/>
      <c r="GD194" s="117"/>
      <c r="GE194" s="117"/>
    </row>
    <row r="195" spans="1:187" s="11" customFormat="1" ht="45" customHeight="1">
      <c r="A195" s="73" t="s">
        <v>728</v>
      </c>
      <c r="B195" s="48" t="s">
        <v>729</v>
      </c>
      <c r="C195" s="49"/>
      <c r="D195" s="220">
        <f>SUM(E195:J195)</f>
        <v>13999297.673419999</v>
      </c>
      <c r="E195" s="47">
        <f>E189</f>
        <v>2104672.79342</v>
      </c>
      <c r="F195" s="47">
        <f>F189</f>
        <v>11894624.879999999</v>
      </c>
      <c r="G195" s="443">
        <f>G189</f>
        <v>0</v>
      </c>
      <c r="H195" s="47"/>
      <c r="I195" s="47"/>
      <c r="J195" s="4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7"/>
      <c r="BR195" s="117"/>
      <c r="BS195" s="117"/>
      <c r="BT195" s="117"/>
      <c r="BU195" s="117"/>
      <c r="BV195" s="117"/>
      <c r="BW195" s="117"/>
      <c r="BX195" s="117"/>
      <c r="BY195" s="117"/>
      <c r="BZ195" s="117"/>
      <c r="CA195" s="117"/>
      <c r="CB195" s="117"/>
      <c r="CC195" s="117"/>
      <c r="CD195" s="117"/>
      <c r="CE195" s="117"/>
      <c r="CF195" s="117"/>
      <c r="CG195" s="117"/>
      <c r="CH195" s="117"/>
      <c r="CI195" s="117"/>
      <c r="CJ195" s="117"/>
      <c r="CK195" s="117"/>
      <c r="CL195" s="117"/>
      <c r="CM195" s="117"/>
      <c r="CN195" s="117"/>
      <c r="CO195" s="117"/>
      <c r="CP195" s="117"/>
      <c r="CQ195" s="117"/>
      <c r="CR195" s="117"/>
      <c r="CS195" s="117"/>
      <c r="CT195" s="117"/>
      <c r="CU195" s="117"/>
      <c r="CV195" s="117"/>
      <c r="CW195" s="117"/>
      <c r="CX195" s="117"/>
      <c r="CY195" s="117"/>
      <c r="CZ195" s="117"/>
      <c r="DA195" s="117"/>
      <c r="DB195" s="117"/>
      <c r="DC195" s="117"/>
      <c r="DD195" s="117"/>
      <c r="DE195" s="117"/>
      <c r="DF195" s="117"/>
      <c r="DG195" s="117"/>
      <c r="DH195" s="117"/>
      <c r="DI195" s="117"/>
      <c r="DJ195" s="117"/>
      <c r="DK195" s="117"/>
      <c r="DL195" s="117"/>
      <c r="DM195" s="117"/>
      <c r="DN195" s="117"/>
      <c r="DO195" s="117"/>
      <c r="DP195" s="117"/>
      <c r="DQ195" s="117"/>
      <c r="DR195" s="117"/>
      <c r="DS195" s="117"/>
      <c r="DT195" s="117"/>
      <c r="DU195" s="117"/>
      <c r="DV195" s="117"/>
      <c r="DW195" s="117"/>
      <c r="DX195" s="117"/>
      <c r="DY195" s="117"/>
      <c r="DZ195" s="117"/>
      <c r="EA195" s="117"/>
      <c r="EB195" s="117"/>
      <c r="EC195" s="117"/>
      <c r="ED195" s="117"/>
      <c r="EE195" s="117"/>
      <c r="EF195" s="117"/>
      <c r="EG195" s="117"/>
      <c r="EH195" s="117"/>
      <c r="EI195" s="117"/>
      <c r="EJ195" s="117"/>
      <c r="EK195" s="117"/>
      <c r="EL195" s="117"/>
      <c r="EM195" s="117"/>
      <c r="EN195" s="117"/>
      <c r="EO195" s="117"/>
      <c r="EP195" s="117"/>
      <c r="EQ195" s="117"/>
      <c r="ER195" s="117"/>
      <c r="ES195" s="117"/>
      <c r="ET195" s="117"/>
      <c r="EU195" s="117"/>
      <c r="EV195" s="117"/>
      <c r="EW195" s="117"/>
      <c r="EX195" s="117"/>
      <c r="EY195" s="117"/>
      <c r="EZ195" s="117"/>
      <c r="FA195" s="117"/>
      <c r="FB195" s="117"/>
      <c r="FC195" s="117"/>
      <c r="FD195" s="117"/>
      <c r="FE195" s="117"/>
      <c r="FF195" s="117"/>
      <c r="FG195" s="117"/>
      <c r="FH195" s="117"/>
      <c r="FI195" s="117"/>
      <c r="FJ195" s="117"/>
      <c r="FK195" s="117"/>
      <c r="FL195" s="117"/>
      <c r="FM195" s="117"/>
      <c r="FN195" s="117"/>
      <c r="FO195" s="117"/>
      <c r="FP195" s="117"/>
      <c r="FQ195" s="117"/>
      <c r="FR195" s="117"/>
      <c r="FS195" s="117"/>
      <c r="FT195" s="117"/>
      <c r="FU195" s="117"/>
      <c r="FV195" s="117"/>
      <c r="FW195" s="117"/>
      <c r="FX195" s="117"/>
      <c r="FY195" s="117"/>
      <c r="FZ195" s="117"/>
      <c r="GA195" s="117"/>
      <c r="GB195" s="117"/>
      <c r="GC195" s="117"/>
      <c r="GD195" s="117"/>
      <c r="GE195" s="117"/>
    </row>
    <row r="196" spans="1:187" s="11" customFormat="1" ht="45" customHeight="1">
      <c r="A196" s="73" t="s">
        <v>100</v>
      </c>
      <c r="B196" s="48"/>
      <c r="C196" s="49" t="s">
        <v>371</v>
      </c>
      <c r="D196" s="220">
        <f>SUM(E196:J196)</f>
        <v>13999297.673419999</v>
      </c>
      <c r="E196" s="47">
        <f>E189</f>
        <v>2104672.79342</v>
      </c>
      <c r="F196" s="47">
        <f>F189</f>
        <v>11894624.879999999</v>
      </c>
      <c r="G196" s="442"/>
      <c r="H196" s="47"/>
      <c r="I196" s="47"/>
      <c r="J196" s="4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c r="AY196" s="117"/>
      <c r="AZ196" s="117"/>
      <c r="BA196" s="117"/>
      <c r="BB196" s="117"/>
      <c r="BC196" s="117"/>
      <c r="BD196" s="117"/>
      <c r="BE196" s="117"/>
      <c r="BF196" s="117"/>
      <c r="BG196" s="117"/>
      <c r="BH196" s="117"/>
      <c r="BI196" s="117"/>
      <c r="BJ196" s="117"/>
      <c r="BK196" s="117"/>
      <c r="BL196" s="117"/>
      <c r="BM196" s="117"/>
      <c r="BN196" s="117"/>
      <c r="BO196" s="117"/>
      <c r="BP196" s="117"/>
      <c r="BQ196" s="117"/>
      <c r="BR196" s="117"/>
      <c r="BS196" s="117"/>
      <c r="BT196" s="117"/>
      <c r="BU196" s="117"/>
      <c r="BV196" s="117"/>
      <c r="BW196" s="117"/>
      <c r="BX196" s="117"/>
      <c r="BY196" s="117"/>
      <c r="BZ196" s="117"/>
      <c r="CA196" s="117"/>
      <c r="CB196" s="117"/>
      <c r="CC196" s="117"/>
      <c r="CD196" s="117"/>
      <c r="CE196" s="117"/>
      <c r="CF196" s="117"/>
      <c r="CG196" s="117"/>
      <c r="CH196" s="117"/>
      <c r="CI196" s="117"/>
      <c r="CJ196" s="117"/>
      <c r="CK196" s="117"/>
      <c r="CL196" s="117"/>
      <c r="CM196" s="117"/>
      <c r="CN196" s="117"/>
      <c r="CO196" s="117"/>
      <c r="CP196" s="117"/>
      <c r="CQ196" s="117"/>
      <c r="CR196" s="117"/>
      <c r="CS196" s="117"/>
      <c r="CT196" s="117"/>
      <c r="CU196" s="117"/>
      <c r="CV196" s="117"/>
      <c r="CW196" s="117"/>
      <c r="CX196" s="117"/>
      <c r="CY196" s="117"/>
      <c r="CZ196" s="117"/>
      <c r="DA196" s="117"/>
      <c r="DB196" s="117"/>
      <c r="DC196" s="117"/>
      <c r="DD196" s="117"/>
      <c r="DE196" s="117"/>
      <c r="DF196" s="117"/>
      <c r="DG196" s="117"/>
      <c r="DH196" s="117"/>
      <c r="DI196" s="117"/>
      <c r="DJ196" s="117"/>
      <c r="DK196" s="117"/>
      <c r="DL196" s="117"/>
      <c r="DM196" s="117"/>
      <c r="DN196" s="117"/>
      <c r="DO196" s="117"/>
      <c r="DP196" s="117"/>
      <c r="DQ196" s="117"/>
      <c r="DR196" s="117"/>
      <c r="DS196" s="117"/>
      <c r="DT196" s="117"/>
      <c r="DU196" s="117"/>
      <c r="DV196" s="117"/>
      <c r="DW196" s="117"/>
      <c r="DX196" s="117"/>
      <c r="DY196" s="117"/>
      <c r="DZ196" s="117"/>
      <c r="EA196" s="117"/>
      <c r="EB196" s="117"/>
      <c r="EC196" s="117"/>
      <c r="ED196" s="117"/>
      <c r="EE196" s="117"/>
      <c r="EF196" s="117"/>
      <c r="EG196" s="117"/>
      <c r="EH196" s="117"/>
      <c r="EI196" s="117"/>
      <c r="EJ196" s="117"/>
      <c r="EK196" s="117"/>
      <c r="EL196" s="117"/>
      <c r="EM196" s="117"/>
      <c r="EN196" s="117"/>
      <c r="EO196" s="117"/>
      <c r="EP196" s="117"/>
      <c r="EQ196" s="117"/>
      <c r="ER196" s="117"/>
      <c r="ES196" s="117"/>
      <c r="ET196" s="117"/>
      <c r="EU196" s="117"/>
      <c r="EV196" s="117"/>
      <c r="EW196" s="117"/>
      <c r="EX196" s="117"/>
      <c r="EY196" s="117"/>
      <c r="EZ196" s="117"/>
      <c r="FA196" s="117"/>
      <c r="FB196" s="117"/>
      <c r="FC196" s="117"/>
      <c r="FD196" s="117"/>
      <c r="FE196" s="117"/>
      <c r="FF196" s="117"/>
      <c r="FG196" s="117"/>
      <c r="FH196" s="117"/>
      <c r="FI196" s="117"/>
      <c r="FJ196" s="117"/>
      <c r="FK196" s="117"/>
      <c r="FL196" s="117"/>
      <c r="FM196" s="117"/>
      <c r="FN196" s="117"/>
      <c r="FO196" s="117"/>
      <c r="FP196" s="117"/>
      <c r="FQ196" s="117"/>
      <c r="FR196" s="117"/>
      <c r="FS196" s="117"/>
      <c r="FT196" s="117"/>
      <c r="FU196" s="117"/>
      <c r="FV196" s="117"/>
      <c r="FW196" s="117"/>
      <c r="FX196" s="117"/>
      <c r="FY196" s="117"/>
      <c r="FZ196" s="117"/>
      <c r="GA196" s="117"/>
      <c r="GB196" s="117"/>
      <c r="GC196" s="117"/>
      <c r="GD196" s="117"/>
      <c r="GE196" s="117"/>
    </row>
    <row r="197" spans="1:187" s="1" customFormat="1" ht="15.75" customHeight="1">
      <c r="A197" s="352" t="s">
        <v>688</v>
      </c>
      <c r="B197" s="51"/>
      <c r="C197" s="53" t="s">
        <v>579</v>
      </c>
      <c r="D197" s="303">
        <f>G197</f>
        <v>0</v>
      </c>
      <c r="E197" s="47"/>
      <c r="F197" s="47"/>
      <c r="G197" s="304">
        <f>'Иные цели'!H605</f>
        <v>0</v>
      </c>
      <c r="H197" s="47"/>
      <c r="I197" s="47"/>
      <c r="J197" s="47"/>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row>
    <row r="198" spans="1:187" s="11" customFormat="1" ht="15">
      <c r="A198" s="91" t="s">
        <v>130</v>
      </c>
      <c r="B198" s="69" t="s">
        <v>131</v>
      </c>
      <c r="C198" s="70">
        <v>850</v>
      </c>
      <c r="D198" s="220">
        <f t="shared" si="3"/>
        <v>32500</v>
      </c>
      <c r="E198" s="68"/>
      <c r="F198" s="68"/>
      <c r="G198" s="68"/>
      <c r="H198" s="68">
        <f>H199</f>
        <v>32500</v>
      </c>
      <c r="I198" s="68"/>
      <c r="J198" s="68"/>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c r="AY198" s="117"/>
      <c r="AZ198" s="117"/>
      <c r="BA198" s="117"/>
      <c r="BB198" s="117"/>
      <c r="BC198" s="117"/>
      <c r="BD198" s="117"/>
      <c r="BE198" s="117"/>
      <c r="BF198" s="117"/>
      <c r="BG198" s="117"/>
      <c r="BH198" s="117"/>
      <c r="BI198" s="117"/>
      <c r="BJ198" s="117"/>
      <c r="BK198" s="117"/>
      <c r="BL198" s="117"/>
      <c r="BM198" s="117"/>
      <c r="BN198" s="117"/>
      <c r="BO198" s="117"/>
      <c r="BP198" s="117"/>
      <c r="BQ198" s="117"/>
      <c r="BR198" s="117"/>
      <c r="BS198" s="117"/>
      <c r="BT198" s="117"/>
      <c r="BU198" s="117"/>
      <c r="BV198" s="117"/>
      <c r="BW198" s="117"/>
      <c r="BX198" s="117"/>
      <c r="BY198" s="117"/>
      <c r="BZ198" s="117"/>
      <c r="CA198" s="117"/>
      <c r="CB198" s="117"/>
      <c r="CC198" s="117"/>
      <c r="CD198" s="117"/>
      <c r="CE198" s="117"/>
      <c r="CF198" s="117"/>
      <c r="CG198" s="117"/>
      <c r="CH198" s="117"/>
      <c r="CI198" s="117"/>
      <c r="CJ198" s="117"/>
      <c r="CK198" s="117"/>
      <c r="CL198" s="117"/>
      <c r="CM198" s="117"/>
      <c r="CN198" s="117"/>
      <c r="CO198" s="117"/>
      <c r="CP198" s="117"/>
      <c r="CQ198" s="117"/>
      <c r="CR198" s="117"/>
      <c r="CS198" s="117"/>
      <c r="CT198" s="117"/>
      <c r="CU198" s="117"/>
      <c r="CV198" s="117"/>
      <c r="CW198" s="117"/>
      <c r="CX198" s="117"/>
      <c r="CY198" s="117"/>
      <c r="CZ198" s="117"/>
      <c r="DA198" s="117"/>
      <c r="DB198" s="117"/>
      <c r="DC198" s="117"/>
      <c r="DD198" s="117"/>
      <c r="DE198" s="117"/>
      <c r="DF198" s="117"/>
      <c r="DG198" s="117"/>
      <c r="DH198" s="117"/>
      <c r="DI198" s="117"/>
      <c r="DJ198" s="117"/>
      <c r="DK198" s="117"/>
      <c r="DL198" s="117"/>
      <c r="DM198" s="117"/>
      <c r="DN198" s="117"/>
      <c r="DO198" s="117"/>
      <c r="DP198" s="117"/>
      <c r="DQ198" s="117"/>
      <c r="DR198" s="117"/>
      <c r="DS198" s="117"/>
      <c r="DT198" s="117"/>
      <c r="DU198" s="117"/>
      <c r="DV198" s="117"/>
      <c r="DW198" s="117"/>
      <c r="DX198" s="117"/>
      <c r="DY198" s="117"/>
      <c r="DZ198" s="117"/>
      <c r="EA198" s="117"/>
      <c r="EB198" s="117"/>
      <c r="EC198" s="117"/>
      <c r="ED198" s="117"/>
      <c r="EE198" s="117"/>
      <c r="EF198" s="117"/>
      <c r="EG198" s="117"/>
      <c r="EH198" s="117"/>
      <c r="EI198" s="117"/>
      <c r="EJ198" s="117"/>
      <c r="EK198" s="117"/>
      <c r="EL198" s="117"/>
      <c r="EM198" s="117"/>
      <c r="EN198" s="117"/>
      <c r="EO198" s="117"/>
      <c r="EP198" s="117"/>
      <c r="EQ198" s="117"/>
      <c r="ER198" s="117"/>
      <c r="ES198" s="117"/>
      <c r="ET198" s="117"/>
      <c r="EU198" s="117"/>
      <c r="EV198" s="117"/>
      <c r="EW198" s="117"/>
      <c r="EX198" s="117"/>
      <c r="EY198" s="117"/>
      <c r="EZ198" s="117"/>
      <c r="FA198" s="117"/>
      <c r="FB198" s="117"/>
      <c r="FC198" s="117"/>
      <c r="FD198" s="117"/>
      <c r="FE198" s="117"/>
      <c r="FF198" s="117"/>
      <c r="FG198" s="117"/>
      <c r="FH198" s="117"/>
      <c r="FI198" s="117"/>
      <c r="FJ198" s="117"/>
      <c r="FK198" s="117"/>
      <c r="FL198" s="117"/>
      <c r="FM198" s="117"/>
      <c r="FN198" s="117"/>
      <c r="FO198" s="117"/>
      <c r="FP198" s="117"/>
      <c r="FQ198" s="117"/>
      <c r="FR198" s="117"/>
      <c r="FS198" s="117"/>
      <c r="FT198" s="117"/>
      <c r="FU198" s="117"/>
      <c r="FV198" s="117"/>
      <c r="FW198" s="117"/>
      <c r="FX198" s="117"/>
      <c r="FY198" s="117"/>
      <c r="FZ198" s="117"/>
      <c r="GA198" s="117"/>
      <c r="GB198" s="117"/>
      <c r="GC198" s="117"/>
      <c r="GD198" s="117"/>
      <c r="GE198" s="117"/>
    </row>
    <row r="199" spans="1:187" s="11" customFormat="1" ht="36" customHeight="1">
      <c r="A199" s="73" t="s">
        <v>755</v>
      </c>
      <c r="B199" s="48" t="s">
        <v>134</v>
      </c>
      <c r="C199" s="49" t="s">
        <v>372</v>
      </c>
      <c r="D199" s="220">
        <f t="shared" si="3"/>
        <v>32500</v>
      </c>
      <c r="E199" s="47"/>
      <c r="F199" s="47"/>
      <c r="G199" s="47"/>
      <c r="H199" s="47">
        <f>Внебюджет!G313</f>
        <v>32500</v>
      </c>
      <c r="I199" s="47"/>
      <c r="J199" s="4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7"/>
      <c r="BD199" s="117"/>
      <c r="BE199" s="117"/>
      <c r="BF199" s="117"/>
      <c r="BG199" s="117"/>
      <c r="BH199" s="117"/>
      <c r="BI199" s="117"/>
      <c r="BJ199" s="117"/>
      <c r="BK199" s="117"/>
      <c r="BL199" s="117"/>
      <c r="BM199" s="117"/>
      <c r="BN199" s="117"/>
      <c r="BO199" s="117"/>
      <c r="BP199" s="117"/>
      <c r="BQ199" s="117"/>
      <c r="BR199" s="117"/>
      <c r="BS199" s="117"/>
      <c r="BT199" s="117"/>
      <c r="BU199" s="117"/>
      <c r="BV199" s="117"/>
      <c r="BW199" s="117"/>
      <c r="BX199" s="117"/>
      <c r="BY199" s="117"/>
      <c r="BZ199" s="117"/>
      <c r="CA199" s="117"/>
      <c r="CB199" s="117"/>
      <c r="CC199" s="117"/>
      <c r="CD199" s="117"/>
      <c r="CE199" s="117"/>
      <c r="CF199" s="117"/>
      <c r="CG199" s="117"/>
      <c r="CH199" s="117"/>
      <c r="CI199" s="117"/>
      <c r="CJ199" s="117"/>
      <c r="CK199" s="117"/>
      <c r="CL199" s="117"/>
      <c r="CM199" s="117"/>
      <c r="CN199" s="117"/>
      <c r="CO199" s="117"/>
      <c r="CP199" s="117"/>
      <c r="CQ199" s="117"/>
      <c r="CR199" s="117"/>
      <c r="CS199" s="117"/>
      <c r="CT199" s="117"/>
      <c r="CU199" s="117"/>
      <c r="CV199" s="117"/>
      <c r="CW199" s="117"/>
      <c r="CX199" s="117"/>
      <c r="CY199" s="117"/>
      <c r="CZ199" s="117"/>
      <c r="DA199" s="117"/>
      <c r="DB199" s="117"/>
      <c r="DC199" s="117"/>
      <c r="DD199" s="117"/>
      <c r="DE199" s="117"/>
      <c r="DF199" s="117"/>
      <c r="DG199" s="117"/>
      <c r="DH199" s="117"/>
      <c r="DI199" s="117"/>
      <c r="DJ199" s="117"/>
      <c r="DK199" s="117"/>
      <c r="DL199" s="117"/>
      <c r="DM199" s="117"/>
      <c r="DN199" s="117"/>
      <c r="DO199" s="117"/>
      <c r="DP199" s="117"/>
      <c r="DQ199" s="117"/>
      <c r="DR199" s="117"/>
      <c r="DS199" s="117"/>
      <c r="DT199" s="117"/>
      <c r="DU199" s="117"/>
      <c r="DV199" s="117"/>
      <c r="DW199" s="117"/>
      <c r="DX199" s="117"/>
      <c r="DY199" s="117"/>
      <c r="DZ199" s="117"/>
      <c r="EA199" s="117"/>
      <c r="EB199" s="117"/>
      <c r="EC199" s="117"/>
      <c r="ED199" s="117"/>
      <c r="EE199" s="117"/>
      <c r="EF199" s="117"/>
      <c r="EG199" s="117"/>
      <c r="EH199" s="117"/>
      <c r="EI199" s="117"/>
      <c r="EJ199" s="117"/>
      <c r="EK199" s="117"/>
      <c r="EL199" s="117"/>
      <c r="EM199" s="117"/>
      <c r="EN199" s="117"/>
      <c r="EO199" s="117"/>
      <c r="EP199" s="117"/>
      <c r="EQ199" s="117"/>
      <c r="ER199" s="117"/>
      <c r="ES199" s="117"/>
      <c r="ET199" s="117"/>
      <c r="EU199" s="117"/>
      <c r="EV199" s="117"/>
      <c r="EW199" s="117"/>
      <c r="EX199" s="117"/>
      <c r="EY199" s="117"/>
      <c r="EZ199" s="117"/>
      <c r="FA199" s="117"/>
      <c r="FB199" s="117"/>
      <c r="FC199" s="117"/>
      <c r="FD199" s="117"/>
      <c r="FE199" s="117"/>
      <c r="FF199" s="117"/>
      <c r="FG199" s="117"/>
      <c r="FH199" s="117"/>
      <c r="FI199" s="117"/>
      <c r="FJ199" s="117"/>
      <c r="FK199" s="117"/>
      <c r="FL199" s="117"/>
      <c r="FM199" s="117"/>
      <c r="FN199" s="117"/>
      <c r="FO199" s="117"/>
      <c r="FP199" s="117"/>
      <c r="FQ199" s="117"/>
      <c r="FR199" s="117"/>
      <c r="FS199" s="117"/>
      <c r="FT199" s="117"/>
      <c r="FU199" s="117"/>
      <c r="FV199" s="117"/>
      <c r="FW199" s="117"/>
      <c r="FX199" s="117"/>
      <c r="FY199" s="117"/>
      <c r="FZ199" s="117"/>
      <c r="GA199" s="117"/>
      <c r="GB199" s="117"/>
      <c r="GC199" s="117"/>
      <c r="GD199" s="117"/>
      <c r="GE199" s="117"/>
    </row>
    <row r="200" spans="1:187" s="11" customFormat="1" ht="52.5" customHeight="1" hidden="1">
      <c r="A200" s="73" t="s">
        <v>133</v>
      </c>
      <c r="B200" s="48" t="s">
        <v>134</v>
      </c>
      <c r="C200" s="49" t="s">
        <v>372</v>
      </c>
      <c r="D200" s="220"/>
      <c r="E200" s="47"/>
      <c r="F200" s="47"/>
      <c r="G200" s="47"/>
      <c r="H200" s="47"/>
      <c r="I200" s="47"/>
      <c r="J200" s="4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c r="AT200" s="117"/>
      <c r="AU200" s="117"/>
      <c r="AV200" s="117"/>
      <c r="AW200" s="117"/>
      <c r="AX200" s="117"/>
      <c r="AY200" s="117"/>
      <c r="AZ200" s="117"/>
      <c r="BA200" s="117"/>
      <c r="BB200" s="117"/>
      <c r="BC200" s="117"/>
      <c r="BD200" s="117"/>
      <c r="BE200" s="117"/>
      <c r="BF200" s="117"/>
      <c r="BG200" s="117"/>
      <c r="BH200" s="117"/>
      <c r="BI200" s="117"/>
      <c r="BJ200" s="117"/>
      <c r="BK200" s="117"/>
      <c r="BL200" s="117"/>
      <c r="BM200" s="117"/>
      <c r="BN200" s="117"/>
      <c r="BO200" s="117"/>
      <c r="BP200" s="117"/>
      <c r="BQ200" s="117"/>
      <c r="BR200" s="117"/>
      <c r="BS200" s="117"/>
      <c r="BT200" s="117"/>
      <c r="BU200" s="117"/>
      <c r="BV200" s="117"/>
      <c r="BW200" s="117"/>
      <c r="BX200" s="117"/>
      <c r="BY200" s="117"/>
      <c r="BZ200" s="117"/>
      <c r="CA200" s="117"/>
      <c r="CB200" s="117"/>
      <c r="CC200" s="117"/>
      <c r="CD200" s="117"/>
      <c r="CE200" s="117"/>
      <c r="CF200" s="117"/>
      <c r="CG200" s="117"/>
      <c r="CH200" s="117"/>
      <c r="CI200" s="117"/>
      <c r="CJ200" s="117"/>
      <c r="CK200" s="117"/>
      <c r="CL200" s="117"/>
      <c r="CM200" s="117"/>
      <c r="CN200" s="117"/>
      <c r="CO200" s="117"/>
      <c r="CP200" s="117"/>
      <c r="CQ200" s="117"/>
      <c r="CR200" s="117"/>
      <c r="CS200" s="117"/>
      <c r="CT200" s="117"/>
      <c r="CU200" s="117"/>
      <c r="CV200" s="117"/>
      <c r="CW200" s="117"/>
      <c r="CX200" s="117"/>
      <c r="CY200" s="117"/>
      <c r="CZ200" s="117"/>
      <c r="DA200" s="117"/>
      <c r="DB200" s="117"/>
      <c r="DC200" s="117"/>
      <c r="DD200" s="117"/>
      <c r="DE200" s="117"/>
      <c r="DF200" s="117"/>
      <c r="DG200" s="117"/>
      <c r="DH200" s="117"/>
      <c r="DI200" s="117"/>
      <c r="DJ200" s="117"/>
      <c r="DK200" s="117"/>
      <c r="DL200" s="117"/>
      <c r="DM200" s="117"/>
      <c r="DN200" s="117"/>
      <c r="DO200" s="117"/>
      <c r="DP200" s="117"/>
      <c r="DQ200" s="117"/>
      <c r="DR200" s="117"/>
      <c r="DS200" s="117"/>
      <c r="DT200" s="117"/>
      <c r="DU200" s="117"/>
      <c r="DV200" s="117"/>
      <c r="DW200" s="117"/>
      <c r="DX200" s="117"/>
      <c r="DY200" s="117"/>
      <c r="DZ200" s="117"/>
      <c r="EA200" s="117"/>
      <c r="EB200" s="117"/>
      <c r="EC200" s="117"/>
      <c r="ED200" s="117"/>
      <c r="EE200" s="117"/>
      <c r="EF200" s="117"/>
      <c r="EG200" s="117"/>
      <c r="EH200" s="117"/>
      <c r="EI200" s="117"/>
      <c r="EJ200" s="117"/>
      <c r="EK200" s="117"/>
      <c r="EL200" s="117"/>
      <c r="EM200" s="117"/>
      <c r="EN200" s="117"/>
      <c r="EO200" s="117"/>
      <c r="EP200" s="117"/>
      <c r="EQ200" s="117"/>
      <c r="ER200" s="117"/>
      <c r="ES200" s="117"/>
      <c r="ET200" s="117"/>
      <c r="EU200" s="117"/>
      <c r="EV200" s="117"/>
      <c r="EW200" s="117"/>
      <c r="EX200" s="117"/>
      <c r="EY200" s="117"/>
      <c r="EZ200" s="117"/>
      <c r="FA200" s="117"/>
      <c r="FB200" s="117"/>
      <c r="FC200" s="117"/>
      <c r="FD200" s="117"/>
      <c r="FE200" s="117"/>
      <c r="FF200" s="117"/>
      <c r="FG200" s="117"/>
      <c r="FH200" s="117"/>
      <c r="FI200" s="117"/>
      <c r="FJ200" s="117"/>
      <c r="FK200" s="117"/>
      <c r="FL200" s="117"/>
      <c r="FM200" s="117"/>
      <c r="FN200" s="117"/>
      <c r="FO200" s="117"/>
      <c r="FP200" s="117"/>
      <c r="FQ200" s="117"/>
      <c r="FR200" s="117"/>
      <c r="FS200" s="117"/>
      <c r="FT200" s="117"/>
      <c r="FU200" s="117"/>
      <c r="FV200" s="117"/>
      <c r="FW200" s="117"/>
      <c r="FX200" s="117"/>
      <c r="FY200" s="117"/>
      <c r="FZ200" s="117"/>
      <c r="GA200" s="117"/>
      <c r="GB200" s="117"/>
      <c r="GC200" s="117"/>
      <c r="GD200" s="117"/>
      <c r="GE200" s="117"/>
    </row>
    <row r="201" spans="1:187" s="11" customFormat="1" ht="30.75" hidden="1">
      <c r="A201" s="73" t="s">
        <v>135</v>
      </c>
      <c r="B201" s="48" t="s">
        <v>136</v>
      </c>
      <c r="C201" s="49" t="s">
        <v>373</v>
      </c>
      <c r="D201" s="220"/>
      <c r="E201" s="47"/>
      <c r="F201" s="47"/>
      <c r="G201" s="47"/>
      <c r="H201" s="47"/>
      <c r="I201" s="47"/>
      <c r="J201" s="4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7"/>
      <c r="BR201" s="117"/>
      <c r="BS201" s="117"/>
      <c r="BT201" s="117"/>
      <c r="BU201" s="117"/>
      <c r="BV201" s="117"/>
      <c r="BW201" s="117"/>
      <c r="BX201" s="117"/>
      <c r="BY201" s="117"/>
      <c r="BZ201" s="117"/>
      <c r="CA201" s="117"/>
      <c r="CB201" s="117"/>
      <c r="CC201" s="117"/>
      <c r="CD201" s="117"/>
      <c r="CE201" s="117"/>
      <c r="CF201" s="117"/>
      <c r="CG201" s="117"/>
      <c r="CH201" s="117"/>
      <c r="CI201" s="117"/>
      <c r="CJ201" s="117"/>
      <c r="CK201" s="117"/>
      <c r="CL201" s="117"/>
      <c r="CM201" s="117"/>
      <c r="CN201" s="117"/>
      <c r="CO201" s="117"/>
      <c r="CP201" s="117"/>
      <c r="CQ201" s="117"/>
      <c r="CR201" s="117"/>
      <c r="CS201" s="117"/>
      <c r="CT201" s="117"/>
      <c r="CU201" s="117"/>
      <c r="CV201" s="117"/>
      <c r="CW201" s="117"/>
      <c r="CX201" s="117"/>
      <c r="CY201" s="117"/>
      <c r="CZ201" s="117"/>
      <c r="DA201" s="117"/>
      <c r="DB201" s="117"/>
      <c r="DC201" s="117"/>
      <c r="DD201" s="117"/>
      <c r="DE201" s="117"/>
      <c r="DF201" s="117"/>
      <c r="DG201" s="117"/>
      <c r="DH201" s="117"/>
      <c r="DI201" s="117"/>
      <c r="DJ201" s="117"/>
      <c r="DK201" s="117"/>
      <c r="DL201" s="117"/>
      <c r="DM201" s="117"/>
      <c r="DN201" s="117"/>
      <c r="DO201" s="117"/>
      <c r="DP201" s="117"/>
      <c r="DQ201" s="117"/>
      <c r="DR201" s="117"/>
      <c r="DS201" s="117"/>
      <c r="DT201" s="117"/>
      <c r="DU201" s="117"/>
      <c r="DV201" s="117"/>
      <c r="DW201" s="117"/>
      <c r="DX201" s="117"/>
      <c r="DY201" s="117"/>
      <c r="DZ201" s="117"/>
      <c r="EA201" s="117"/>
      <c r="EB201" s="117"/>
      <c r="EC201" s="117"/>
      <c r="ED201" s="117"/>
      <c r="EE201" s="117"/>
      <c r="EF201" s="117"/>
      <c r="EG201" s="117"/>
      <c r="EH201" s="117"/>
      <c r="EI201" s="117"/>
      <c r="EJ201" s="117"/>
      <c r="EK201" s="117"/>
      <c r="EL201" s="117"/>
      <c r="EM201" s="117"/>
      <c r="EN201" s="117"/>
      <c r="EO201" s="117"/>
      <c r="EP201" s="117"/>
      <c r="EQ201" s="117"/>
      <c r="ER201" s="117"/>
      <c r="ES201" s="117"/>
      <c r="ET201" s="117"/>
      <c r="EU201" s="117"/>
      <c r="EV201" s="117"/>
      <c r="EW201" s="117"/>
      <c r="EX201" s="117"/>
      <c r="EY201" s="117"/>
      <c r="EZ201" s="117"/>
      <c r="FA201" s="117"/>
      <c r="FB201" s="117"/>
      <c r="FC201" s="117"/>
      <c r="FD201" s="117"/>
      <c r="FE201" s="117"/>
      <c r="FF201" s="117"/>
      <c r="FG201" s="117"/>
      <c r="FH201" s="117"/>
      <c r="FI201" s="117"/>
      <c r="FJ201" s="117"/>
      <c r="FK201" s="117"/>
      <c r="FL201" s="117"/>
      <c r="FM201" s="117"/>
      <c r="FN201" s="117"/>
      <c r="FO201" s="117"/>
      <c r="FP201" s="117"/>
      <c r="FQ201" s="117"/>
      <c r="FR201" s="117"/>
      <c r="FS201" s="117"/>
      <c r="FT201" s="117"/>
      <c r="FU201" s="117"/>
      <c r="FV201" s="117"/>
      <c r="FW201" s="117"/>
      <c r="FX201" s="117"/>
      <c r="FY201" s="117"/>
      <c r="FZ201" s="117"/>
      <c r="GA201" s="117"/>
      <c r="GB201" s="117"/>
      <c r="GC201" s="117"/>
      <c r="GD201" s="117"/>
      <c r="GE201" s="117"/>
    </row>
    <row r="202" spans="1:187" s="11" customFormat="1" ht="15" hidden="1">
      <c r="A202" s="73" t="s">
        <v>175</v>
      </c>
      <c r="B202" s="48"/>
      <c r="C202" s="49"/>
      <c r="D202" s="220"/>
      <c r="E202" s="47"/>
      <c r="F202" s="47"/>
      <c r="G202" s="47"/>
      <c r="H202" s="47"/>
      <c r="I202" s="47"/>
      <c r="J202" s="4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c r="AY202" s="117"/>
      <c r="AZ202" s="117"/>
      <c r="BA202" s="117"/>
      <c r="BB202" s="117"/>
      <c r="BC202" s="117"/>
      <c r="BD202" s="117"/>
      <c r="BE202" s="117"/>
      <c r="BF202" s="117"/>
      <c r="BG202" s="117"/>
      <c r="BH202" s="117"/>
      <c r="BI202" s="117"/>
      <c r="BJ202" s="117"/>
      <c r="BK202" s="117"/>
      <c r="BL202" s="117"/>
      <c r="BM202" s="117"/>
      <c r="BN202" s="117"/>
      <c r="BO202" s="117"/>
      <c r="BP202" s="117"/>
      <c r="BQ202" s="117"/>
      <c r="BR202" s="117"/>
      <c r="BS202" s="117"/>
      <c r="BT202" s="117"/>
      <c r="BU202" s="117"/>
      <c r="BV202" s="117"/>
      <c r="BW202" s="117"/>
      <c r="BX202" s="117"/>
      <c r="BY202" s="117"/>
      <c r="BZ202" s="117"/>
      <c r="CA202" s="117"/>
      <c r="CB202" s="117"/>
      <c r="CC202" s="117"/>
      <c r="CD202" s="117"/>
      <c r="CE202" s="117"/>
      <c r="CF202" s="117"/>
      <c r="CG202" s="117"/>
      <c r="CH202" s="117"/>
      <c r="CI202" s="117"/>
      <c r="CJ202" s="117"/>
      <c r="CK202" s="117"/>
      <c r="CL202" s="117"/>
      <c r="CM202" s="117"/>
      <c r="CN202" s="117"/>
      <c r="CO202" s="117"/>
      <c r="CP202" s="117"/>
      <c r="CQ202" s="117"/>
      <c r="CR202" s="117"/>
      <c r="CS202" s="117"/>
      <c r="CT202" s="117"/>
      <c r="CU202" s="117"/>
      <c r="CV202" s="117"/>
      <c r="CW202" s="117"/>
      <c r="CX202" s="117"/>
      <c r="CY202" s="117"/>
      <c r="CZ202" s="117"/>
      <c r="DA202" s="117"/>
      <c r="DB202" s="117"/>
      <c r="DC202" s="117"/>
      <c r="DD202" s="117"/>
      <c r="DE202" s="117"/>
      <c r="DF202" s="117"/>
      <c r="DG202" s="117"/>
      <c r="DH202" s="117"/>
      <c r="DI202" s="117"/>
      <c r="DJ202" s="117"/>
      <c r="DK202" s="117"/>
      <c r="DL202" s="117"/>
      <c r="DM202" s="117"/>
      <c r="DN202" s="117"/>
      <c r="DO202" s="117"/>
      <c r="DP202" s="117"/>
      <c r="DQ202" s="117"/>
      <c r="DR202" s="117"/>
      <c r="DS202" s="117"/>
      <c r="DT202" s="117"/>
      <c r="DU202" s="117"/>
      <c r="DV202" s="117"/>
      <c r="DW202" s="117"/>
      <c r="DX202" s="117"/>
      <c r="DY202" s="117"/>
      <c r="DZ202" s="117"/>
      <c r="EA202" s="117"/>
      <c r="EB202" s="117"/>
      <c r="EC202" s="117"/>
      <c r="ED202" s="117"/>
      <c r="EE202" s="117"/>
      <c r="EF202" s="117"/>
      <c r="EG202" s="117"/>
      <c r="EH202" s="117"/>
      <c r="EI202" s="117"/>
      <c r="EJ202" s="117"/>
      <c r="EK202" s="117"/>
      <c r="EL202" s="117"/>
      <c r="EM202" s="117"/>
      <c r="EN202" s="117"/>
      <c r="EO202" s="117"/>
      <c r="EP202" s="117"/>
      <c r="EQ202" s="117"/>
      <c r="ER202" s="117"/>
      <c r="ES202" s="117"/>
      <c r="ET202" s="117"/>
      <c r="EU202" s="117"/>
      <c r="EV202" s="117"/>
      <c r="EW202" s="117"/>
      <c r="EX202" s="117"/>
      <c r="EY202" s="117"/>
      <c r="EZ202" s="117"/>
      <c r="FA202" s="117"/>
      <c r="FB202" s="117"/>
      <c r="FC202" s="117"/>
      <c r="FD202" s="117"/>
      <c r="FE202" s="117"/>
      <c r="FF202" s="117"/>
      <c r="FG202" s="117"/>
      <c r="FH202" s="117"/>
      <c r="FI202" s="117"/>
      <c r="FJ202" s="117"/>
      <c r="FK202" s="117"/>
      <c r="FL202" s="117"/>
      <c r="FM202" s="117"/>
      <c r="FN202" s="117"/>
      <c r="FO202" s="117"/>
      <c r="FP202" s="117"/>
      <c r="FQ202" s="117"/>
      <c r="FR202" s="117"/>
      <c r="FS202" s="117"/>
      <c r="FT202" s="117"/>
      <c r="FU202" s="117"/>
      <c r="FV202" s="117"/>
      <c r="FW202" s="117"/>
      <c r="FX202" s="117"/>
      <c r="FY202" s="117"/>
      <c r="FZ202" s="117"/>
      <c r="GA202" s="117"/>
      <c r="GB202" s="117"/>
      <c r="GC202" s="117"/>
      <c r="GD202" s="117"/>
      <c r="GE202" s="117"/>
    </row>
    <row r="203" spans="1:187" s="11" customFormat="1" ht="30.75" hidden="1">
      <c r="A203" s="91" t="s">
        <v>137</v>
      </c>
      <c r="B203" s="69" t="s">
        <v>138</v>
      </c>
      <c r="C203" s="70" t="s">
        <v>35</v>
      </c>
      <c r="D203" s="220"/>
      <c r="E203" s="68"/>
      <c r="F203" s="68"/>
      <c r="G203" s="68"/>
      <c r="H203" s="68"/>
      <c r="I203" s="68"/>
      <c r="J203" s="68"/>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c r="AY203" s="117"/>
      <c r="AZ203" s="117"/>
      <c r="BA203" s="117"/>
      <c r="BB203" s="117"/>
      <c r="BC203" s="117"/>
      <c r="BD203" s="117"/>
      <c r="BE203" s="117"/>
      <c r="BF203" s="117"/>
      <c r="BG203" s="117"/>
      <c r="BH203" s="117"/>
      <c r="BI203" s="117"/>
      <c r="BJ203" s="117"/>
      <c r="BK203" s="117"/>
      <c r="BL203" s="117"/>
      <c r="BM203" s="117"/>
      <c r="BN203" s="117"/>
      <c r="BO203" s="117"/>
      <c r="BP203" s="117"/>
      <c r="BQ203" s="117"/>
      <c r="BR203" s="117"/>
      <c r="BS203" s="117"/>
      <c r="BT203" s="117"/>
      <c r="BU203" s="117"/>
      <c r="BV203" s="117"/>
      <c r="BW203" s="117"/>
      <c r="BX203" s="117"/>
      <c r="BY203" s="117"/>
      <c r="BZ203" s="117"/>
      <c r="CA203" s="117"/>
      <c r="CB203" s="117"/>
      <c r="CC203" s="117"/>
      <c r="CD203" s="117"/>
      <c r="CE203" s="117"/>
      <c r="CF203" s="117"/>
      <c r="CG203" s="117"/>
      <c r="CH203" s="117"/>
      <c r="CI203" s="117"/>
      <c r="CJ203" s="117"/>
      <c r="CK203" s="117"/>
      <c r="CL203" s="117"/>
      <c r="CM203" s="117"/>
      <c r="CN203" s="117"/>
      <c r="CO203" s="117"/>
      <c r="CP203" s="117"/>
      <c r="CQ203" s="117"/>
      <c r="CR203" s="117"/>
      <c r="CS203" s="117"/>
      <c r="CT203" s="117"/>
      <c r="CU203" s="117"/>
      <c r="CV203" s="117"/>
      <c r="CW203" s="117"/>
      <c r="CX203" s="117"/>
      <c r="CY203" s="117"/>
      <c r="CZ203" s="117"/>
      <c r="DA203" s="117"/>
      <c r="DB203" s="117"/>
      <c r="DC203" s="117"/>
      <c r="DD203" s="117"/>
      <c r="DE203" s="117"/>
      <c r="DF203" s="117"/>
      <c r="DG203" s="117"/>
      <c r="DH203" s="117"/>
      <c r="DI203" s="117"/>
      <c r="DJ203" s="117"/>
      <c r="DK203" s="117"/>
      <c r="DL203" s="117"/>
      <c r="DM203" s="117"/>
      <c r="DN203" s="117"/>
      <c r="DO203" s="117"/>
      <c r="DP203" s="117"/>
      <c r="DQ203" s="117"/>
      <c r="DR203" s="117"/>
      <c r="DS203" s="117"/>
      <c r="DT203" s="117"/>
      <c r="DU203" s="117"/>
      <c r="DV203" s="117"/>
      <c r="DW203" s="117"/>
      <c r="DX203" s="117"/>
      <c r="DY203" s="117"/>
      <c r="DZ203" s="117"/>
      <c r="EA203" s="117"/>
      <c r="EB203" s="117"/>
      <c r="EC203" s="117"/>
      <c r="ED203" s="117"/>
      <c r="EE203" s="117"/>
      <c r="EF203" s="117"/>
      <c r="EG203" s="117"/>
      <c r="EH203" s="117"/>
      <c r="EI203" s="117"/>
      <c r="EJ203" s="117"/>
      <c r="EK203" s="117"/>
      <c r="EL203" s="117"/>
      <c r="EM203" s="117"/>
      <c r="EN203" s="117"/>
      <c r="EO203" s="117"/>
      <c r="EP203" s="117"/>
      <c r="EQ203" s="117"/>
      <c r="ER203" s="117"/>
      <c r="ES203" s="117"/>
      <c r="ET203" s="117"/>
      <c r="EU203" s="117"/>
      <c r="EV203" s="117"/>
      <c r="EW203" s="117"/>
      <c r="EX203" s="117"/>
      <c r="EY203" s="117"/>
      <c r="EZ203" s="117"/>
      <c r="FA203" s="117"/>
      <c r="FB203" s="117"/>
      <c r="FC203" s="117"/>
      <c r="FD203" s="117"/>
      <c r="FE203" s="117"/>
      <c r="FF203" s="117"/>
      <c r="FG203" s="117"/>
      <c r="FH203" s="117"/>
      <c r="FI203" s="117"/>
      <c r="FJ203" s="117"/>
      <c r="FK203" s="117"/>
      <c r="FL203" s="117"/>
      <c r="FM203" s="117"/>
      <c r="FN203" s="117"/>
      <c r="FO203" s="117"/>
      <c r="FP203" s="117"/>
      <c r="FQ203" s="117"/>
      <c r="FR203" s="117"/>
      <c r="FS203" s="117"/>
      <c r="FT203" s="117"/>
      <c r="FU203" s="117"/>
      <c r="FV203" s="117"/>
      <c r="FW203" s="117"/>
      <c r="FX203" s="117"/>
      <c r="FY203" s="117"/>
      <c r="FZ203" s="117"/>
      <c r="GA203" s="117"/>
      <c r="GB203" s="117"/>
      <c r="GC203" s="117"/>
      <c r="GD203" s="117"/>
      <c r="GE203" s="117"/>
    </row>
    <row r="204" spans="1:187" s="11" customFormat="1" ht="46.5" hidden="1">
      <c r="A204" s="73" t="s">
        <v>140</v>
      </c>
      <c r="B204" s="48" t="s">
        <v>139</v>
      </c>
      <c r="C204" s="49">
        <v>810</v>
      </c>
      <c r="D204" s="220"/>
      <c r="E204" s="47"/>
      <c r="F204" s="47"/>
      <c r="G204" s="47"/>
      <c r="H204" s="47"/>
      <c r="I204" s="47"/>
      <c r="J204" s="4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7"/>
      <c r="BC204" s="117"/>
      <c r="BD204" s="117"/>
      <c r="BE204" s="117"/>
      <c r="BF204" s="117"/>
      <c r="BG204" s="117"/>
      <c r="BH204" s="117"/>
      <c r="BI204" s="117"/>
      <c r="BJ204" s="117"/>
      <c r="BK204" s="117"/>
      <c r="BL204" s="117"/>
      <c r="BM204" s="117"/>
      <c r="BN204" s="117"/>
      <c r="BO204" s="117"/>
      <c r="BP204" s="117"/>
      <c r="BQ204" s="117"/>
      <c r="BR204" s="117"/>
      <c r="BS204" s="117"/>
      <c r="BT204" s="117"/>
      <c r="BU204" s="117"/>
      <c r="BV204" s="117"/>
      <c r="BW204" s="117"/>
      <c r="BX204" s="117"/>
      <c r="BY204" s="117"/>
      <c r="BZ204" s="117"/>
      <c r="CA204" s="117"/>
      <c r="CB204" s="117"/>
      <c r="CC204" s="117"/>
      <c r="CD204" s="117"/>
      <c r="CE204" s="117"/>
      <c r="CF204" s="117"/>
      <c r="CG204" s="117"/>
      <c r="CH204" s="117"/>
      <c r="CI204" s="117"/>
      <c r="CJ204" s="117"/>
      <c r="CK204" s="117"/>
      <c r="CL204" s="117"/>
      <c r="CM204" s="117"/>
      <c r="CN204" s="117"/>
      <c r="CO204" s="117"/>
      <c r="CP204" s="117"/>
      <c r="CQ204" s="117"/>
      <c r="CR204" s="117"/>
      <c r="CS204" s="117"/>
      <c r="CT204" s="117"/>
      <c r="CU204" s="117"/>
      <c r="CV204" s="117"/>
      <c r="CW204" s="117"/>
      <c r="CX204" s="117"/>
      <c r="CY204" s="117"/>
      <c r="CZ204" s="117"/>
      <c r="DA204" s="117"/>
      <c r="DB204" s="117"/>
      <c r="DC204" s="117"/>
      <c r="DD204" s="117"/>
      <c r="DE204" s="117"/>
      <c r="DF204" s="117"/>
      <c r="DG204" s="117"/>
      <c r="DH204" s="117"/>
      <c r="DI204" s="117"/>
      <c r="DJ204" s="117"/>
      <c r="DK204" s="117"/>
      <c r="DL204" s="117"/>
      <c r="DM204" s="117"/>
      <c r="DN204" s="117"/>
      <c r="DO204" s="117"/>
      <c r="DP204" s="117"/>
      <c r="DQ204" s="117"/>
      <c r="DR204" s="117"/>
      <c r="DS204" s="117"/>
      <c r="DT204" s="117"/>
      <c r="DU204" s="117"/>
      <c r="DV204" s="117"/>
      <c r="DW204" s="117"/>
      <c r="DX204" s="117"/>
      <c r="DY204" s="117"/>
      <c r="DZ204" s="117"/>
      <c r="EA204" s="117"/>
      <c r="EB204" s="117"/>
      <c r="EC204" s="117"/>
      <c r="ED204" s="117"/>
      <c r="EE204" s="117"/>
      <c r="EF204" s="117"/>
      <c r="EG204" s="117"/>
      <c r="EH204" s="117"/>
      <c r="EI204" s="117"/>
      <c r="EJ204" s="117"/>
      <c r="EK204" s="117"/>
      <c r="EL204" s="117"/>
      <c r="EM204" s="117"/>
      <c r="EN204" s="117"/>
      <c r="EO204" s="117"/>
      <c r="EP204" s="117"/>
      <c r="EQ204" s="117"/>
      <c r="ER204" s="117"/>
      <c r="ES204" s="117"/>
      <c r="ET204" s="117"/>
      <c r="EU204" s="117"/>
      <c r="EV204" s="117"/>
      <c r="EW204" s="117"/>
      <c r="EX204" s="117"/>
      <c r="EY204" s="117"/>
      <c r="EZ204" s="117"/>
      <c r="FA204" s="117"/>
      <c r="FB204" s="117"/>
      <c r="FC204" s="117"/>
      <c r="FD204" s="117"/>
      <c r="FE204" s="117"/>
      <c r="FF204" s="117"/>
      <c r="FG204" s="117"/>
      <c r="FH204" s="117"/>
      <c r="FI204" s="117"/>
      <c r="FJ204" s="117"/>
      <c r="FK204" s="117"/>
      <c r="FL204" s="117"/>
      <c r="FM204" s="117"/>
      <c r="FN204" s="117"/>
      <c r="FO204" s="117"/>
      <c r="FP204" s="117"/>
      <c r="FQ204" s="117"/>
      <c r="FR204" s="117"/>
      <c r="FS204" s="117"/>
      <c r="FT204" s="117"/>
      <c r="FU204" s="117"/>
      <c r="FV204" s="117"/>
      <c r="FW204" s="117"/>
      <c r="FX204" s="117"/>
      <c r="FY204" s="117"/>
      <c r="FZ204" s="117"/>
      <c r="GA204" s="117"/>
      <c r="GB204" s="117"/>
      <c r="GC204" s="117"/>
      <c r="GD204" s="117"/>
      <c r="GE204" s="117"/>
    </row>
    <row r="205" spans="1:187" s="11" customFormat="1" ht="30.75" hidden="1">
      <c r="A205" s="91" t="s">
        <v>141</v>
      </c>
      <c r="B205" s="69" t="s">
        <v>142</v>
      </c>
      <c r="C205" s="70" t="s">
        <v>35</v>
      </c>
      <c r="D205" s="220"/>
      <c r="E205" s="68"/>
      <c r="F205" s="68"/>
      <c r="G205" s="68"/>
      <c r="H205" s="68"/>
      <c r="I205" s="68"/>
      <c r="J205" s="68"/>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c r="AT205" s="117"/>
      <c r="AU205" s="117"/>
      <c r="AV205" s="117"/>
      <c r="AW205" s="117"/>
      <c r="AX205" s="117"/>
      <c r="AY205" s="117"/>
      <c r="AZ205" s="117"/>
      <c r="BA205" s="117"/>
      <c r="BB205" s="117"/>
      <c r="BC205" s="117"/>
      <c r="BD205" s="117"/>
      <c r="BE205" s="117"/>
      <c r="BF205" s="117"/>
      <c r="BG205" s="117"/>
      <c r="BH205" s="117"/>
      <c r="BI205" s="117"/>
      <c r="BJ205" s="117"/>
      <c r="BK205" s="117"/>
      <c r="BL205" s="117"/>
      <c r="BM205" s="117"/>
      <c r="BN205" s="117"/>
      <c r="BO205" s="117"/>
      <c r="BP205" s="117"/>
      <c r="BQ205" s="117"/>
      <c r="BR205" s="117"/>
      <c r="BS205" s="117"/>
      <c r="BT205" s="117"/>
      <c r="BU205" s="117"/>
      <c r="BV205" s="117"/>
      <c r="BW205" s="117"/>
      <c r="BX205" s="117"/>
      <c r="BY205" s="117"/>
      <c r="BZ205" s="117"/>
      <c r="CA205" s="117"/>
      <c r="CB205" s="117"/>
      <c r="CC205" s="117"/>
      <c r="CD205" s="117"/>
      <c r="CE205" s="117"/>
      <c r="CF205" s="117"/>
      <c r="CG205" s="117"/>
      <c r="CH205" s="117"/>
      <c r="CI205" s="117"/>
      <c r="CJ205" s="117"/>
      <c r="CK205" s="117"/>
      <c r="CL205" s="117"/>
      <c r="CM205" s="117"/>
      <c r="CN205" s="117"/>
      <c r="CO205" s="117"/>
      <c r="CP205" s="117"/>
      <c r="CQ205" s="117"/>
      <c r="CR205" s="117"/>
      <c r="CS205" s="117"/>
      <c r="CT205" s="117"/>
      <c r="CU205" s="117"/>
      <c r="CV205" s="117"/>
      <c r="CW205" s="117"/>
      <c r="CX205" s="117"/>
      <c r="CY205" s="117"/>
      <c r="CZ205" s="117"/>
      <c r="DA205" s="117"/>
      <c r="DB205" s="117"/>
      <c r="DC205" s="117"/>
      <c r="DD205" s="117"/>
      <c r="DE205" s="117"/>
      <c r="DF205" s="117"/>
      <c r="DG205" s="117"/>
      <c r="DH205" s="117"/>
      <c r="DI205" s="117"/>
      <c r="DJ205" s="117"/>
      <c r="DK205" s="117"/>
      <c r="DL205" s="117"/>
      <c r="DM205" s="117"/>
      <c r="DN205" s="117"/>
      <c r="DO205" s="117"/>
      <c r="DP205" s="117"/>
      <c r="DQ205" s="117"/>
      <c r="DR205" s="117"/>
      <c r="DS205" s="117"/>
      <c r="DT205" s="117"/>
      <c r="DU205" s="117"/>
      <c r="DV205" s="117"/>
      <c r="DW205" s="117"/>
      <c r="DX205" s="117"/>
      <c r="DY205" s="117"/>
      <c r="DZ205" s="117"/>
      <c r="EA205" s="117"/>
      <c r="EB205" s="117"/>
      <c r="EC205" s="117"/>
      <c r="ED205" s="117"/>
      <c r="EE205" s="117"/>
      <c r="EF205" s="117"/>
      <c r="EG205" s="117"/>
      <c r="EH205" s="117"/>
      <c r="EI205" s="117"/>
      <c r="EJ205" s="117"/>
      <c r="EK205" s="117"/>
      <c r="EL205" s="117"/>
      <c r="EM205" s="117"/>
      <c r="EN205" s="117"/>
      <c r="EO205" s="117"/>
      <c r="EP205" s="117"/>
      <c r="EQ205" s="117"/>
      <c r="ER205" s="117"/>
      <c r="ES205" s="117"/>
      <c r="ET205" s="117"/>
      <c r="EU205" s="117"/>
      <c r="EV205" s="117"/>
      <c r="EW205" s="117"/>
      <c r="EX205" s="117"/>
      <c r="EY205" s="117"/>
      <c r="EZ205" s="117"/>
      <c r="FA205" s="117"/>
      <c r="FB205" s="117"/>
      <c r="FC205" s="117"/>
      <c r="FD205" s="117"/>
      <c r="FE205" s="117"/>
      <c r="FF205" s="117"/>
      <c r="FG205" s="117"/>
      <c r="FH205" s="117"/>
      <c r="FI205" s="117"/>
      <c r="FJ205" s="117"/>
      <c r="FK205" s="117"/>
      <c r="FL205" s="117"/>
      <c r="FM205" s="117"/>
      <c r="FN205" s="117"/>
      <c r="FO205" s="117"/>
      <c r="FP205" s="117"/>
      <c r="FQ205" s="117"/>
      <c r="FR205" s="117"/>
      <c r="FS205" s="117"/>
      <c r="FT205" s="117"/>
      <c r="FU205" s="117"/>
      <c r="FV205" s="117"/>
      <c r="FW205" s="117"/>
      <c r="FX205" s="117"/>
      <c r="FY205" s="117"/>
      <c r="FZ205" s="117"/>
      <c r="GA205" s="117"/>
      <c r="GB205" s="117"/>
      <c r="GC205" s="117"/>
      <c r="GD205" s="117"/>
      <c r="GE205" s="117"/>
    </row>
    <row r="206" spans="1:187" s="11" customFormat="1" ht="62.25" hidden="1">
      <c r="A206" s="91" t="s">
        <v>143</v>
      </c>
      <c r="B206" s="69" t="s">
        <v>144</v>
      </c>
      <c r="C206" s="70" t="s">
        <v>374</v>
      </c>
      <c r="D206" s="220"/>
      <c r="E206" s="68"/>
      <c r="F206" s="68"/>
      <c r="G206" s="68"/>
      <c r="H206" s="68"/>
      <c r="I206" s="68"/>
      <c r="J206" s="68"/>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c r="AY206" s="117"/>
      <c r="AZ206" s="117"/>
      <c r="BA206" s="117"/>
      <c r="BB206" s="117"/>
      <c r="BC206" s="117"/>
      <c r="BD206" s="117"/>
      <c r="BE206" s="117"/>
      <c r="BF206" s="117"/>
      <c r="BG206" s="117"/>
      <c r="BH206" s="117"/>
      <c r="BI206" s="117"/>
      <c r="BJ206" s="117"/>
      <c r="BK206" s="117"/>
      <c r="BL206" s="117"/>
      <c r="BM206" s="117"/>
      <c r="BN206" s="117"/>
      <c r="BO206" s="117"/>
      <c r="BP206" s="117"/>
      <c r="BQ206" s="117"/>
      <c r="BR206" s="117"/>
      <c r="BS206" s="117"/>
      <c r="BT206" s="117"/>
      <c r="BU206" s="117"/>
      <c r="BV206" s="117"/>
      <c r="BW206" s="117"/>
      <c r="BX206" s="117"/>
      <c r="BY206" s="117"/>
      <c r="BZ206" s="117"/>
      <c r="CA206" s="117"/>
      <c r="CB206" s="117"/>
      <c r="CC206" s="117"/>
      <c r="CD206" s="117"/>
      <c r="CE206" s="117"/>
      <c r="CF206" s="117"/>
      <c r="CG206" s="117"/>
      <c r="CH206" s="117"/>
      <c r="CI206" s="117"/>
      <c r="CJ206" s="117"/>
      <c r="CK206" s="117"/>
      <c r="CL206" s="117"/>
      <c r="CM206" s="117"/>
      <c r="CN206" s="117"/>
      <c r="CO206" s="117"/>
      <c r="CP206" s="117"/>
      <c r="CQ206" s="117"/>
      <c r="CR206" s="117"/>
      <c r="CS206" s="117"/>
      <c r="CT206" s="117"/>
      <c r="CU206" s="117"/>
      <c r="CV206" s="117"/>
      <c r="CW206" s="117"/>
      <c r="CX206" s="117"/>
      <c r="CY206" s="117"/>
      <c r="CZ206" s="117"/>
      <c r="DA206" s="117"/>
      <c r="DB206" s="117"/>
      <c r="DC206" s="117"/>
      <c r="DD206" s="117"/>
      <c r="DE206" s="117"/>
      <c r="DF206" s="117"/>
      <c r="DG206" s="117"/>
      <c r="DH206" s="117"/>
      <c r="DI206" s="117"/>
      <c r="DJ206" s="117"/>
      <c r="DK206" s="117"/>
      <c r="DL206" s="117"/>
      <c r="DM206" s="117"/>
      <c r="DN206" s="117"/>
      <c r="DO206" s="117"/>
      <c r="DP206" s="117"/>
      <c r="DQ206" s="117"/>
      <c r="DR206" s="117"/>
      <c r="DS206" s="117"/>
      <c r="DT206" s="117"/>
      <c r="DU206" s="117"/>
      <c r="DV206" s="117"/>
      <c r="DW206" s="117"/>
      <c r="DX206" s="117"/>
      <c r="DY206" s="117"/>
      <c r="DZ206" s="117"/>
      <c r="EA206" s="117"/>
      <c r="EB206" s="117"/>
      <c r="EC206" s="117"/>
      <c r="ED206" s="117"/>
      <c r="EE206" s="117"/>
      <c r="EF206" s="117"/>
      <c r="EG206" s="117"/>
      <c r="EH206" s="117"/>
      <c r="EI206" s="117"/>
      <c r="EJ206" s="117"/>
      <c r="EK206" s="117"/>
      <c r="EL206" s="117"/>
      <c r="EM206" s="117"/>
      <c r="EN206" s="117"/>
      <c r="EO206" s="117"/>
      <c r="EP206" s="117"/>
      <c r="EQ206" s="117"/>
      <c r="ER206" s="117"/>
      <c r="ES206" s="117"/>
      <c r="ET206" s="117"/>
      <c r="EU206" s="117"/>
      <c r="EV206" s="117"/>
      <c r="EW206" s="117"/>
      <c r="EX206" s="117"/>
      <c r="EY206" s="117"/>
      <c r="EZ206" s="117"/>
      <c r="FA206" s="117"/>
      <c r="FB206" s="117"/>
      <c r="FC206" s="117"/>
      <c r="FD206" s="117"/>
      <c r="FE206" s="117"/>
      <c r="FF206" s="117"/>
      <c r="FG206" s="117"/>
      <c r="FH206" s="117"/>
      <c r="FI206" s="117"/>
      <c r="FJ206" s="117"/>
      <c r="FK206" s="117"/>
      <c r="FL206" s="117"/>
      <c r="FM206" s="117"/>
      <c r="FN206" s="117"/>
      <c r="FO206" s="117"/>
      <c r="FP206" s="117"/>
      <c r="FQ206" s="117"/>
      <c r="FR206" s="117"/>
      <c r="FS206" s="117"/>
      <c r="FT206" s="117"/>
      <c r="FU206" s="117"/>
      <c r="FV206" s="117"/>
      <c r="FW206" s="117"/>
      <c r="FX206" s="117"/>
      <c r="FY206" s="117"/>
      <c r="FZ206" s="117"/>
      <c r="GA206" s="117"/>
      <c r="GB206" s="117"/>
      <c r="GC206" s="117"/>
      <c r="GD206" s="117"/>
      <c r="GE206" s="117"/>
    </row>
    <row r="207" spans="1:187" s="11" customFormat="1" ht="24.75" customHeight="1">
      <c r="A207" s="91" t="s">
        <v>145</v>
      </c>
      <c r="B207" s="69" t="s">
        <v>146</v>
      </c>
      <c r="C207" s="70" t="s">
        <v>35</v>
      </c>
      <c r="D207" s="220">
        <f>SUM(E207:J207)</f>
        <v>11204237.32</v>
      </c>
      <c r="E207" s="68">
        <f>SUM(E215:E238)-E221</f>
        <v>4921212</v>
      </c>
      <c r="F207" s="68">
        <f>SUM(F215:F234)-F221</f>
        <v>6058840</v>
      </c>
      <c r="G207" s="68">
        <f>G221</f>
        <v>0</v>
      </c>
      <c r="H207" s="68">
        <f>SUM(H215:H238)-H221</f>
        <v>224185.32</v>
      </c>
      <c r="I207" s="68"/>
      <c r="J207" s="68"/>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7"/>
      <c r="BC207" s="117"/>
      <c r="BD207" s="117"/>
      <c r="BE207" s="117"/>
      <c r="BF207" s="117"/>
      <c r="BG207" s="117"/>
      <c r="BH207" s="117"/>
      <c r="BI207" s="117"/>
      <c r="BJ207" s="117"/>
      <c r="BK207" s="117"/>
      <c r="BL207" s="117"/>
      <c r="BM207" s="117"/>
      <c r="BN207" s="117"/>
      <c r="BO207" s="117"/>
      <c r="BP207" s="117"/>
      <c r="BQ207" s="117"/>
      <c r="BR207" s="117"/>
      <c r="BS207" s="117"/>
      <c r="BT207" s="117"/>
      <c r="BU207" s="117"/>
      <c r="BV207" s="117"/>
      <c r="BW207" s="117"/>
      <c r="BX207" s="117"/>
      <c r="BY207" s="117"/>
      <c r="BZ207" s="117"/>
      <c r="CA207" s="117"/>
      <c r="CB207" s="117"/>
      <c r="CC207" s="117"/>
      <c r="CD207" s="117"/>
      <c r="CE207" s="117"/>
      <c r="CF207" s="117"/>
      <c r="CG207" s="117"/>
      <c r="CH207" s="117"/>
      <c r="CI207" s="117"/>
      <c r="CJ207" s="117"/>
      <c r="CK207" s="117"/>
      <c r="CL207" s="117"/>
      <c r="CM207" s="117"/>
      <c r="CN207" s="117"/>
      <c r="CO207" s="117"/>
      <c r="CP207" s="117"/>
      <c r="CQ207" s="117"/>
      <c r="CR207" s="117"/>
      <c r="CS207" s="117"/>
      <c r="CT207" s="117"/>
      <c r="CU207" s="117"/>
      <c r="CV207" s="117"/>
      <c r="CW207" s="117"/>
      <c r="CX207" s="117"/>
      <c r="CY207" s="117"/>
      <c r="CZ207" s="117"/>
      <c r="DA207" s="117"/>
      <c r="DB207" s="117"/>
      <c r="DC207" s="117"/>
      <c r="DD207" s="117"/>
      <c r="DE207" s="117"/>
      <c r="DF207" s="117"/>
      <c r="DG207" s="117"/>
      <c r="DH207" s="117"/>
      <c r="DI207" s="117"/>
      <c r="DJ207" s="117"/>
      <c r="DK207" s="117"/>
      <c r="DL207" s="117"/>
      <c r="DM207" s="117"/>
      <c r="DN207" s="117"/>
      <c r="DO207" s="117"/>
      <c r="DP207" s="117"/>
      <c r="DQ207" s="117"/>
      <c r="DR207" s="117"/>
      <c r="DS207" s="117"/>
      <c r="DT207" s="117"/>
      <c r="DU207" s="117"/>
      <c r="DV207" s="117"/>
      <c r="DW207" s="117"/>
      <c r="DX207" s="117"/>
      <c r="DY207" s="117"/>
      <c r="DZ207" s="117"/>
      <c r="EA207" s="117"/>
      <c r="EB207" s="117"/>
      <c r="EC207" s="117"/>
      <c r="ED207" s="117"/>
      <c r="EE207" s="117"/>
      <c r="EF207" s="117"/>
      <c r="EG207" s="117"/>
      <c r="EH207" s="117"/>
      <c r="EI207" s="117"/>
      <c r="EJ207" s="117"/>
      <c r="EK207" s="117"/>
      <c r="EL207" s="117"/>
      <c r="EM207" s="117"/>
      <c r="EN207" s="117"/>
      <c r="EO207" s="117"/>
      <c r="EP207" s="117"/>
      <c r="EQ207" s="117"/>
      <c r="ER207" s="117"/>
      <c r="ES207" s="117"/>
      <c r="ET207" s="117"/>
      <c r="EU207" s="117"/>
      <c r="EV207" s="117"/>
      <c r="EW207" s="117"/>
      <c r="EX207" s="117"/>
      <c r="EY207" s="117"/>
      <c r="EZ207" s="117"/>
      <c r="FA207" s="117"/>
      <c r="FB207" s="117"/>
      <c r="FC207" s="117"/>
      <c r="FD207" s="117"/>
      <c r="FE207" s="117"/>
      <c r="FF207" s="117"/>
      <c r="FG207" s="117"/>
      <c r="FH207" s="117"/>
      <c r="FI207" s="117"/>
      <c r="FJ207" s="117"/>
      <c r="FK207" s="117"/>
      <c r="FL207" s="117"/>
      <c r="FM207" s="117"/>
      <c r="FN207" s="117"/>
      <c r="FO207" s="117"/>
      <c r="FP207" s="117"/>
      <c r="FQ207" s="117"/>
      <c r="FR207" s="117"/>
      <c r="FS207" s="117"/>
      <c r="FT207" s="117"/>
      <c r="FU207" s="117"/>
      <c r="FV207" s="117"/>
      <c r="FW207" s="117"/>
      <c r="FX207" s="117"/>
      <c r="FY207" s="117"/>
      <c r="FZ207" s="117"/>
      <c r="GA207" s="117"/>
      <c r="GB207" s="117"/>
      <c r="GC207" s="117"/>
      <c r="GD207" s="117"/>
      <c r="GE207" s="117"/>
    </row>
    <row r="208" spans="1:187" s="11" customFormat="1" ht="46.5" hidden="1">
      <c r="A208" s="73" t="s">
        <v>147</v>
      </c>
      <c r="B208" s="48" t="s">
        <v>148</v>
      </c>
      <c r="C208" s="49" t="s">
        <v>375</v>
      </c>
      <c r="D208" s="220"/>
      <c r="E208" s="47"/>
      <c r="F208" s="47"/>
      <c r="G208" s="47"/>
      <c r="H208" s="47"/>
      <c r="I208" s="47"/>
      <c r="J208" s="4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c r="AU208" s="117"/>
      <c r="AV208" s="117"/>
      <c r="AW208" s="117"/>
      <c r="AX208" s="117"/>
      <c r="AY208" s="117"/>
      <c r="AZ208" s="117"/>
      <c r="BA208" s="117"/>
      <c r="BB208" s="117"/>
      <c r="BC208" s="117"/>
      <c r="BD208" s="117"/>
      <c r="BE208" s="117"/>
      <c r="BF208" s="117"/>
      <c r="BG208" s="117"/>
      <c r="BH208" s="117"/>
      <c r="BI208" s="117"/>
      <c r="BJ208" s="117"/>
      <c r="BK208" s="117"/>
      <c r="BL208" s="117"/>
      <c r="BM208" s="117"/>
      <c r="BN208" s="117"/>
      <c r="BO208" s="117"/>
      <c r="BP208" s="117"/>
      <c r="BQ208" s="117"/>
      <c r="BR208" s="117"/>
      <c r="BS208" s="117"/>
      <c r="BT208" s="117"/>
      <c r="BU208" s="117"/>
      <c r="BV208" s="117"/>
      <c r="BW208" s="117"/>
      <c r="BX208" s="117"/>
      <c r="BY208" s="117"/>
      <c r="BZ208" s="117"/>
      <c r="CA208" s="117"/>
      <c r="CB208" s="117"/>
      <c r="CC208" s="117"/>
      <c r="CD208" s="117"/>
      <c r="CE208" s="117"/>
      <c r="CF208" s="117"/>
      <c r="CG208" s="117"/>
      <c r="CH208" s="117"/>
      <c r="CI208" s="117"/>
      <c r="CJ208" s="117"/>
      <c r="CK208" s="117"/>
      <c r="CL208" s="117"/>
      <c r="CM208" s="117"/>
      <c r="CN208" s="117"/>
      <c r="CO208" s="117"/>
      <c r="CP208" s="117"/>
      <c r="CQ208" s="117"/>
      <c r="CR208" s="117"/>
      <c r="CS208" s="117"/>
      <c r="CT208" s="117"/>
      <c r="CU208" s="117"/>
      <c r="CV208" s="117"/>
      <c r="CW208" s="117"/>
      <c r="CX208" s="117"/>
      <c r="CY208" s="117"/>
      <c r="CZ208" s="117"/>
      <c r="DA208" s="117"/>
      <c r="DB208" s="117"/>
      <c r="DC208" s="117"/>
      <c r="DD208" s="117"/>
      <c r="DE208" s="117"/>
      <c r="DF208" s="117"/>
      <c r="DG208" s="117"/>
      <c r="DH208" s="117"/>
      <c r="DI208" s="117"/>
      <c r="DJ208" s="117"/>
      <c r="DK208" s="117"/>
      <c r="DL208" s="117"/>
      <c r="DM208" s="117"/>
      <c r="DN208" s="117"/>
      <c r="DO208" s="117"/>
      <c r="DP208" s="117"/>
      <c r="DQ208" s="117"/>
      <c r="DR208" s="117"/>
      <c r="DS208" s="117"/>
      <c r="DT208" s="117"/>
      <c r="DU208" s="117"/>
      <c r="DV208" s="117"/>
      <c r="DW208" s="117"/>
      <c r="DX208" s="117"/>
      <c r="DY208" s="117"/>
      <c r="DZ208" s="117"/>
      <c r="EA208" s="117"/>
      <c r="EB208" s="117"/>
      <c r="EC208" s="117"/>
      <c r="ED208" s="117"/>
      <c r="EE208" s="117"/>
      <c r="EF208" s="117"/>
      <c r="EG208" s="117"/>
      <c r="EH208" s="117"/>
      <c r="EI208" s="117"/>
      <c r="EJ208" s="117"/>
      <c r="EK208" s="117"/>
      <c r="EL208" s="117"/>
      <c r="EM208" s="117"/>
      <c r="EN208" s="117"/>
      <c r="EO208" s="117"/>
      <c r="EP208" s="117"/>
      <c r="EQ208" s="117"/>
      <c r="ER208" s="117"/>
      <c r="ES208" s="117"/>
      <c r="ET208" s="117"/>
      <c r="EU208" s="117"/>
      <c r="EV208" s="117"/>
      <c r="EW208" s="117"/>
      <c r="EX208" s="117"/>
      <c r="EY208" s="117"/>
      <c r="EZ208" s="117"/>
      <c r="FA208" s="117"/>
      <c r="FB208" s="117"/>
      <c r="FC208" s="117"/>
      <c r="FD208" s="117"/>
      <c r="FE208" s="117"/>
      <c r="FF208" s="117"/>
      <c r="FG208" s="117"/>
      <c r="FH208" s="117"/>
      <c r="FI208" s="117"/>
      <c r="FJ208" s="117"/>
      <c r="FK208" s="117"/>
      <c r="FL208" s="117"/>
      <c r="FM208" s="117"/>
      <c r="FN208" s="117"/>
      <c r="FO208" s="117"/>
      <c r="FP208" s="117"/>
      <c r="FQ208" s="117"/>
      <c r="FR208" s="117"/>
      <c r="FS208" s="117"/>
      <c r="FT208" s="117"/>
      <c r="FU208" s="117"/>
      <c r="FV208" s="117"/>
      <c r="FW208" s="117"/>
      <c r="FX208" s="117"/>
      <c r="FY208" s="117"/>
      <c r="FZ208" s="117"/>
      <c r="GA208" s="117"/>
      <c r="GB208" s="117"/>
      <c r="GC208" s="117"/>
      <c r="GD208" s="117"/>
      <c r="GE208" s="117"/>
    </row>
    <row r="209" spans="1:187" s="11" customFormat="1" ht="30.75" hidden="1">
      <c r="A209" s="73" t="s">
        <v>149</v>
      </c>
      <c r="B209" s="48" t="s">
        <v>150</v>
      </c>
      <c r="C209" s="49" t="s">
        <v>376</v>
      </c>
      <c r="D209" s="220"/>
      <c r="E209" s="47"/>
      <c r="F209" s="47"/>
      <c r="G209" s="47"/>
      <c r="H209" s="47"/>
      <c r="I209" s="47"/>
      <c r="J209" s="4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117"/>
      <c r="BC209" s="117"/>
      <c r="BD209" s="117"/>
      <c r="BE209" s="117"/>
      <c r="BF209" s="117"/>
      <c r="BG209" s="117"/>
      <c r="BH209" s="117"/>
      <c r="BI209" s="117"/>
      <c r="BJ209" s="117"/>
      <c r="BK209" s="117"/>
      <c r="BL209" s="117"/>
      <c r="BM209" s="117"/>
      <c r="BN209" s="117"/>
      <c r="BO209" s="117"/>
      <c r="BP209" s="117"/>
      <c r="BQ209" s="117"/>
      <c r="BR209" s="117"/>
      <c r="BS209" s="117"/>
      <c r="BT209" s="117"/>
      <c r="BU209" s="117"/>
      <c r="BV209" s="117"/>
      <c r="BW209" s="117"/>
      <c r="BX209" s="117"/>
      <c r="BY209" s="117"/>
      <c r="BZ209" s="117"/>
      <c r="CA209" s="117"/>
      <c r="CB209" s="117"/>
      <c r="CC209" s="117"/>
      <c r="CD209" s="117"/>
      <c r="CE209" s="117"/>
      <c r="CF209" s="117"/>
      <c r="CG209" s="117"/>
      <c r="CH209" s="117"/>
      <c r="CI209" s="117"/>
      <c r="CJ209" s="117"/>
      <c r="CK209" s="117"/>
      <c r="CL209" s="117"/>
      <c r="CM209" s="117"/>
      <c r="CN209" s="117"/>
      <c r="CO209" s="117"/>
      <c r="CP209" s="117"/>
      <c r="CQ209" s="117"/>
      <c r="CR209" s="117"/>
      <c r="CS209" s="117"/>
      <c r="CT209" s="117"/>
      <c r="CU209" s="117"/>
      <c r="CV209" s="117"/>
      <c r="CW209" s="117"/>
      <c r="CX209" s="117"/>
      <c r="CY209" s="117"/>
      <c r="CZ209" s="117"/>
      <c r="DA209" s="117"/>
      <c r="DB209" s="117"/>
      <c r="DC209" s="117"/>
      <c r="DD209" s="117"/>
      <c r="DE209" s="117"/>
      <c r="DF209" s="117"/>
      <c r="DG209" s="117"/>
      <c r="DH209" s="117"/>
      <c r="DI209" s="117"/>
      <c r="DJ209" s="117"/>
      <c r="DK209" s="117"/>
      <c r="DL209" s="117"/>
      <c r="DM209" s="117"/>
      <c r="DN209" s="117"/>
      <c r="DO209" s="117"/>
      <c r="DP209" s="117"/>
      <c r="DQ209" s="117"/>
      <c r="DR209" s="117"/>
      <c r="DS209" s="117"/>
      <c r="DT209" s="117"/>
      <c r="DU209" s="117"/>
      <c r="DV209" s="117"/>
      <c r="DW209" s="117"/>
      <c r="DX209" s="117"/>
      <c r="DY209" s="117"/>
      <c r="DZ209" s="117"/>
      <c r="EA209" s="117"/>
      <c r="EB209" s="117"/>
      <c r="EC209" s="117"/>
      <c r="ED209" s="117"/>
      <c r="EE209" s="117"/>
      <c r="EF209" s="117"/>
      <c r="EG209" s="117"/>
      <c r="EH209" s="117"/>
      <c r="EI209" s="117"/>
      <c r="EJ209" s="117"/>
      <c r="EK209" s="117"/>
      <c r="EL209" s="117"/>
      <c r="EM209" s="117"/>
      <c r="EN209" s="117"/>
      <c r="EO209" s="117"/>
      <c r="EP209" s="117"/>
      <c r="EQ209" s="117"/>
      <c r="ER209" s="117"/>
      <c r="ES209" s="117"/>
      <c r="ET209" s="117"/>
      <c r="EU209" s="117"/>
      <c r="EV209" s="117"/>
      <c r="EW209" s="117"/>
      <c r="EX209" s="117"/>
      <c r="EY209" s="117"/>
      <c r="EZ209" s="117"/>
      <c r="FA209" s="117"/>
      <c r="FB209" s="117"/>
      <c r="FC209" s="117"/>
      <c r="FD209" s="117"/>
      <c r="FE209" s="117"/>
      <c r="FF209" s="117"/>
      <c r="FG209" s="117"/>
      <c r="FH209" s="117"/>
      <c r="FI209" s="117"/>
      <c r="FJ209" s="117"/>
      <c r="FK209" s="117"/>
      <c r="FL209" s="117"/>
      <c r="FM209" s="117"/>
      <c r="FN209" s="117"/>
      <c r="FO209" s="117"/>
      <c r="FP209" s="117"/>
      <c r="FQ209" s="117"/>
      <c r="FR209" s="117"/>
      <c r="FS209" s="117"/>
      <c r="FT209" s="117"/>
      <c r="FU209" s="117"/>
      <c r="FV209" s="117"/>
      <c r="FW209" s="117"/>
      <c r="FX209" s="117"/>
      <c r="FY209" s="117"/>
      <c r="FZ209" s="117"/>
      <c r="GA209" s="117"/>
      <c r="GB209" s="117"/>
      <c r="GC209" s="117"/>
      <c r="GD209" s="117"/>
      <c r="GE209" s="117"/>
    </row>
    <row r="210" spans="1:187" s="11" customFormat="1" ht="15" hidden="1">
      <c r="A210" s="73" t="s">
        <v>297</v>
      </c>
      <c r="B210" s="48"/>
      <c r="C210" s="49" t="s">
        <v>376</v>
      </c>
      <c r="D210" s="220"/>
      <c r="E210" s="47"/>
      <c r="F210" s="47"/>
      <c r="G210" s="47"/>
      <c r="H210" s="47"/>
      <c r="I210" s="47"/>
      <c r="J210" s="4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117"/>
      <c r="BW210" s="117"/>
      <c r="BX210" s="117"/>
      <c r="BY210" s="117"/>
      <c r="BZ210" s="117"/>
      <c r="CA210" s="117"/>
      <c r="CB210" s="117"/>
      <c r="CC210" s="117"/>
      <c r="CD210" s="117"/>
      <c r="CE210" s="117"/>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c r="CZ210" s="117"/>
      <c r="DA210" s="117"/>
      <c r="DB210" s="117"/>
      <c r="DC210" s="117"/>
      <c r="DD210" s="117"/>
      <c r="DE210" s="117"/>
      <c r="DF210" s="117"/>
      <c r="DG210" s="117"/>
      <c r="DH210" s="117"/>
      <c r="DI210" s="117"/>
      <c r="DJ210" s="117"/>
      <c r="DK210" s="117"/>
      <c r="DL210" s="117"/>
      <c r="DM210" s="117"/>
      <c r="DN210" s="117"/>
      <c r="DO210" s="117"/>
      <c r="DP210" s="117"/>
      <c r="DQ210" s="117"/>
      <c r="DR210" s="117"/>
      <c r="DS210" s="117"/>
      <c r="DT210" s="117"/>
      <c r="DU210" s="117"/>
      <c r="DV210" s="117"/>
      <c r="DW210" s="117"/>
      <c r="DX210" s="117"/>
      <c r="DY210" s="117"/>
      <c r="DZ210" s="117"/>
      <c r="EA210" s="117"/>
      <c r="EB210" s="117"/>
      <c r="EC210" s="117"/>
      <c r="ED210" s="117"/>
      <c r="EE210" s="117"/>
      <c r="EF210" s="117"/>
      <c r="EG210" s="117"/>
      <c r="EH210" s="117"/>
      <c r="EI210" s="117"/>
      <c r="EJ210" s="117"/>
      <c r="EK210" s="117"/>
      <c r="EL210" s="117"/>
      <c r="EM210" s="117"/>
      <c r="EN210" s="117"/>
      <c r="EO210" s="117"/>
      <c r="EP210" s="117"/>
      <c r="EQ210" s="117"/>
      <c r="ER210" s="117"/>
      <c r="ES210" s="117"/>
      <c r="ET210" s="117"/>
      <c r="EU210" s="117"/>
      <c r="EV210" s="117"/>
      <c r="EW210" s="117"/>
      <c r="EX210" s="117"/>
      <c r="EY210" s="117"/>
      <c r="EZ210" s="117"/>
      <c r="FA210" s="117"/>
      <c r="FB210" s="117"/>
      <c r="FC210" s="117"/>
      <c r="FD210" s="117"/>
      <c r="FE210" s="117"/>
      <c r="FF210" s="117"/>
      <c r="FG210" s="117"/>
      <c r="FH210" s="117"/>
      <c r="FI210" s="117"/>
      <c r="FJ210" s="117"/>
      <c r="FK210" s="117"/>
      <c r="FL210" s="117"/>
      <c r="FM210" s="117"/>
      <c r="FN210" s="117"/>
      <c r="FO210" s="117"/>
      <c r="FP210" s="117"/>
      <c r="FQ210" s="117"/>
      <c r="FR210" s="117"/>
      <c r="FS210" s="117"/>
      <c r="FT210" s="117"/>
      <c r="FU210" s="117"/>
      <c r="FV210" s="117"/>
      <c r="FW210" s="117"/>
      <c r="FX210" s="117"/>
      <c r="FY210" s="117"/>
      <c r="FZ210" s="117"/>
      <c r="GA210" s="117"/>
      <c r="GB210" s="117"/>
      <c r="GC210" s="117"/>
      <c r="GD210" s="117"/>
      <c r="GE210" s="117"/>
    </row>
    <row r="211" spans="1:187" s="11" customFormat="1" ht="46.5" hidden="1">
      <c r="A211" s="73" t="s">
        <v>151</v>
      </c>
      <c r="B211" s="48" t="s">
        <v>152</v>
      </c>
      <c r="C211" s="49" t="s">
        <v>377</v>
      </c>
      <c r="D211" s="220"/>
      <c r="E211" s="47"/>
      <c r="F211" s="47"/>
      <c r="G211" s="47"/>
      <c r="H211" s="47"/>
      <c r="I211" s="47"/>
      <c r="J211" s="4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c r="AY211" s="117"/>
      <c r="AZ211" s="117"/>
      <c r="BA211" s="117"/>
      <c r="BB211" s="117"/>
      <c r="BC211" s="117"/>
      <c r="BD211" s="117"/>
      <c r="BE211" s="117"/>
      <c r="BF211" s="117"/>
      <c r="BG211" s="117"/>
      <c r="BH211" s="117"/>
      <c r="BI211" s="117"/>
      <c r="BJ211" s="117"/>
      <c r="BK211" s="117"/>
      <c r="BL211" s="117"/>
      <c r="BM211" s="117"/>
      <c r="BN211" s="117"/>
      <c r="BO211" s="117"/>
      <c r="BP211" s="117"/>
      <c r="BQ211" s="117"/>
      <c r="BR211" s="117"/>
      <c r="BS211" s="117"/>
      <c r="BT211" s="117"/>
      <c r="BU211" s="117"/>
      <c r="BV211" s="117"/>
      <c r="BW211" s="117"/>
      <c r="BX211" s="117"/>
      <c r="BY211" s="117"/>
      <c r="BZ211" s="117"/>
      <c r="CA211" s="117"/>
      <c r="CB211" s="117"/>
      <c r="CC211" s="117"/>
      <c r="CD211" s="117"/>
      <c r="CE211" s="117"/>
      <c r="CF211" s="117"/>
      <c r="CG211" s="117"/>
      <c r="CH211" s="117"/>
      <c r="CI211" s="117"/>
      <c r="CJ211" s="117"/>
      <c r="CK211" s="117"/>
      <c r="CL211" s="117"/>
      <c r="CM211" s="117"/>
      <c r="CN211" s="117"/>
      <c r="CO211" s="117"/>
      <c r="CP211" s="117"/>
      <c r="CQ211" s="117"/>
      <c r="CR211" s="117"/>
      <c r="CS211" s="117"/>
      <c r="CT211" s="117"/>
      <c r="CU211" s="117"/>
      <c r="CV211" s="117"/>
      <c r="CW211" s="117"/>
      <c r="CX211" s="117"/>
      <c r="CY211" s="117"/>
      <c r="CZ211" s="117"/>
      <c r="DA211" s="117"/>
      <c r="DB211" s="117"/>
      <c r="DC211" s="117"/>
      <c r="DD211" s="117"/>
      <c r="DE211" s="117"/>
      <c r="DF211" s="117"/>
      <c r="DG211" s="117"/>
      <c r="DH211" s="117"/>
      <c r="DI211" s="117"/>
      <c r="DJ211" s="117"/>
      <c r="DK211" s="117"/>
      <c r="DL211" s="117"/>
      <c r="DM211" s="117"/>
      <c r="DN211" s="117"/>
      <c r="DO211" s="117"/>
      <c r="DP211" s="117"/>
      <c r="DQ211" s="117"/>
      <c r="DR211" s="117"/>
      <c r="DS211" s="117"/>
      <c r="DT211" s="117"/>
      <c r="DU211" s="117"/>
      <c r="DV211" s="117"/>
      <c r="DW211" s="117"/>
      <c r="DX211" s="117"/>
      <c r="DY211" s="117"/>
      <c r="DZ211" s="117"/>
      <c r="EA211" s="117"/>
      <c r="EB211" s="117"/>
      <c r="EC211" s="117"/>
      <c r="ED211" s="117"/>
      <c r="EE211" s="117"/>
      <c r="EF211" s="117"/>
      <c r="EG211" s="117"/>
      <c r="EH211" s="117"/>
      <c r="EI211" s="117"/>
      <c r="EJ211" s="117"/>
      <c r="EK211" s="117"/>
      <c r="EL211" s="117"/>
      <c r="EM211" s="117"/>
      <c r="EN211" s="117"/>
      <c r="EO211" s="117"/>
      <c r="EP211" s="117"/>
      <c r="EQ211" s="117"/>
      <c r="ER211" s="117"/>
      <c r="ES211" s="117"/>
      <c r="ET211" s="117"/>
      <c r="EU211" s="117"/>
      <c r="EV211" s="117"/>
      <c r="EW211" s="117"/>
      <c r="EX211" s="117"/>
      <c r="EY211" s="117"/>
      <c r="EZ211" s="117"/>
      <c r="FA211" s="117"/>
      <c r="FB211" s="117"/>
      <c r="FC211" s="117"/>
      <c r="FD211" s="117"/>
      <c r="FE211" s="117"/>
      <c r="FF211" s="117"/>
      <c r="FG211" s="117"/>
      <c r="FH211" s="117"/>
      <c r="FI211" s="117"/>
      <c r="FJ211" s="117"/>
      <c r="FK211" s="117"/>
      <c r="FL211" s="117"/>
      <c r="FM211" s="117"/>
      <c r="FN211" s="117"/>
      <c r="FO211" s="117"/>
      <c r="FP211" s="117"/>
      <c r="FQ211" s="117"/>
      <c r="FR211" s="117"/>
      <c r="FS211" s="117"/>
      <c r="FT211" s="117"/>
      <c r="FU211" s="117"/>
      <c r="FV211" s="117"/>
      <c r="FW211" s="117"/>
      <c r="FX211" s="117"/>
      <c r="FY211" s="117"/>
      <c r="FZ211" s="117"/>
      <c r="GA211" s="117"/>
      <c r="GB211" s="117"/>
      <c r="GC211" s="117"/>
      <c r="GD211" s="117"/>
      <c r="GE211" s="117"/>
    </row>
    <row r="212" spans="1:187" s="1" customFormat="1" ht="38.25" customHeight="1">
      <c r="A212" s="73" t="s">
        <v>756</v>
      </c>
      <c r="B212" s="48" t="s">
        <v>154</v>
      </c>
      <c r="C212" s="49" t="s">
        <v>35</v>
      </c>
      <c r="D212" s="220">
        <f>E212+F212+G212+H212</f>
        <v>9214337.32</v>
      </c>
      <c r="E212" s="47">
        <f>SUM(E214:E234)-E221</f>
        <v>3109212</v>
      </c>
      <c r="F212" s="47">
        <f>SUM(F214:F245)-F221</f>
        <v>6058840</v>
      </c>
      <c r="G212" s="47">
        <f>G221</f>
        <v>0</v>
      </c>
      <c r="H212" s="47">
        <f>SUM(H214:H234)-H221</f>
        <v>46285.32</v>
      </c>
      <c r="I212" s="47"/>
      <c r="J212" s="47"/>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row>
    <row r="213" spans="1:187" s="1" customFormat="1" ht="22.5" customHeight="1" hidden="1">
      <c r="A213" s="73" t="s">
        <v>153</v>
      </c>
      <c r="B213" s="48" t="s">
        <v>154</v>
      </c>
      <c r="C213" s="49" t="s">
        <v>672</v>
      </c>
      <c r="D213" s="220"/>
      <c r="E213" s="47">
        <f>E238</f>
        <v>1812000</v>
      </c>
      <c r="F213" s="47"/>
      <c r="G213" s="47"/>
      <c r="H213" s="47">
        <f>H238</f>
        <v>177900</v>
      </c>
      <c r="I213" s="47"/>
      <c r="J213" s="47"/>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row>
    <row r="214" spans="1:187" s="11" customFormat="1" ht="15" hidden="1">
      <c r="A214" s="73" t="s">
        <v>111</v>
      </c>
      <c r="B214" s="51"/>
      <c r="C214" s="49"/>
      <c r="D214" s="220"/>
      <c r="E214" s="47"/>
      <c r="F214" s="47"/>
      <c r="G214" s="47"/>
      <c r="H214" s="47"/>
      <c r="I214" s="47"/>
      <c r="J214" s="4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c r="AV214" s="117"/>
      <c r="AW214" s="117"/>
      <c r="AX214" s="117"/>
      <c r="AY214" s="117"/>
      <c r="AZ214" s="117"/>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s="117"/>
      <c r="BV214" s="117"/>
      <c r="BW214" s="117"/>
      <c r="BX214" s="117"/>
      <c r="BY214" s="117"/>
      <c r="BZ214" s="117"/>
      <c r="CA214" s="117"/>
      <c r="CB214" s="117"/>
      <c r="CC214" s="117"/>
      <c r="CD214" s="117"/>
      <c r="CE214" s="117"/>
      <c r="CF214" s="117"/>
      <c r="CG214" s="117"/>
      <c r="CH214" s="117"/>
      <c r="CI214" s="117"/>
      <c r="CJ214" s="117"/>
      <c r="CK214" s="117"/>
      <c r="CL214" s="117"/>
      <c r="CM214" s="117"/>
      <c r="CN214" s="117"/>
      <c r="CO214" s="117"/>
      <c r="CP214" s="117"/>
      <c r="CQ214" s="117"/>
      <c r="CR214" s="117"/>
      <c r="CS214" s="117"/>
      <c r="CT214" s="117"/>
      <c r="CU214" s="117"/>
      <c r="CV214" s="117"/>
      <c r="CW214" s="117"/>
      <c r="CX214" s="117"/>
      <c r="CY214" s="117"/>
      <c r="CZ214" s="117"/>
      <c r="DA214" s="117"/>
      <c r="DB214" s="117"/>
      <c r="DC214" s="117"/>
      <c r="DD214" s="117"/>
      <c r="DE214" s="117"/>
      <c r="DF214" s="117"/>
      <c r="DG214" s="117"/>
      <c r="DH214" s="117"/>
      <c r="DI214" s="117"/>
      <c r="DJ214" s="117"/>
      <c r="DK214" s="117"/>
      <c r="DL214" s="117"/>
      <c r="DM214" s="117"/>
      <c r="DN214" s="117"/>
      <c r="DO214" s="117"/>
      <c r="DP214" s="117"/>
      <c r="DQ214" s="117"/>
      <c r="DR214" s="117"/>
      <c r="DS214" s="117"/>
      <c r="DT214" s="117"/>
      <c r="DU214" s="117"/>
      <c r="DV214" s="117"/>
      <c r="DW214" s="117"/>
      <c r="DX214" s="117"/>
      <c r="DY214" s="117"/>
      <c r="DZ214" s="117"/>
      <c r="EA214" s="117"/>
      <c r="EB214" s="117"/>
      <c r="EC214" s="117"/>
      <c r="ED214" s="117"/>
      <c r="EE214" s="117"/>
      <c r="EF214" s="117"/>
      <c r="EG214" s="117"/>
      <c r="EH214" s="117"/>
      <c r="EI214" s="117"/>
      <c r="EJ214" s="117"/>
      <c r="EK214" s="117"/>
      <c r="EL214" s="117"/>
      <c r="EM214" s="117"/>
      <c r="EN214" s="117"/>
      <c r="EO214" s="117"/>
      <c r="EP214" s="117"/>
      <c r="EQ214" s="117"/>
      <c r="ER214" s="117"/>
      <c r="ES214" s="117"/>
      <c r="ET214" s="117"/>
      <c r="EU214" s="117"/>
      <c r="EV214" s="117"/>
      <c r="EW214" s="117"/>
      <c r="EX214" s="117"/>
      <c r="EY214" s="117"/>
      <c r="EZ214" s="117"/>
      <c r="FA214" s="117"/>
      <c r="FB214" s="117"/>
      <c r="FC214" s="117"/>
      <c r="FD214" s="117"/>
      <c r="FE214" s="117"/>
      <c r="FF214" s="117"/>
      <c r="FG214" s="117"/>
      <c r="FH214" s="117"/>
      <c r="FI214" s="117"/>
      <c r="FJ214" s="117"/>
      <c r="FK214" s="117"/>
      <c r="FL214" s="117"/>
      <c r="FM214" s="117"/>
      <c r="FN214" s="117"/>
      <c r="FO214" s="117"/>
      <c r="FP214" s="117"/>
      <c r="FQ214" s="117"/>
      <c r="FR214" s="117"/>
      <c r="FS214" s="117"/>
      <c r="FT214" s="117"/>
      <c r="FU214" s="117"/>
      <c r="FV214" s="117"/>
      <c r="FW214" s="117"/>
      <c r="FX214" s="117"/>
      <c r="FY214" s="117"/>
      <c r="FZ214" s="117"/>
      <c r="GA214" s="117"/>
      <c r="GB214" s="117"/>
      <c r="GC214" s="117"/>
      <c r="GD214" s="117"/>
      <c r="GE214" s="117"/>
    </row>
    <row r="215" spans="1:187" s="11" customFormat="1" ht="33.75" customHeight="1">
      <c r="A215" s="74" t="s">
        <v>757</v>
      </c>
      <c r="B215" s="51"/>
      <c r="C215" s="53" t="s">
        <v>378</v>
      </c>
      <c r="D215" s="220">
        <f>SUM(E215:J215)</f>
        <v>3000</v>
      </c>
      <c r="E215" s="47">
        <f>'Местный бюджет'!G315</f>
        <v>2000</v>
      </c>
      <c r="F215" s="47"/>
      <c r="G215" s="47"/>
      <c r="H215" s="47">
        <f>Внебюджет!G320</f>
        <v>1000</v>
      </c>
      <c r="I215" s="47"/>
      <c r="J215" s="4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R215" s="117"/>
      <c r="BS215" s="117"/>
      <c r="BT215" s="117"/>
      <c r="BU215" s="117"/>
      <c r="BV215" s="117"/>
      <c r="BW215" s="117"/>
      <c r="BX215" s="117"/>
      <c r="BY215" s="117"/>
      <c r="BZ215" s="117"/>
      <c r="CA215" s="117"/>
      <c r="CB215" s="117"/>
      <c r="CC215" s="117"/>
      <c r="CD215" s="117"/>
      <c r="CE215" s="117"/>
      <c r="CF215" s="117"/>
      <c r="CG215" s="117"/>
      <c r="CH215" s="117"/>
      <c r="CI215" s="117"/>
      <c r="CJ215" s="117"/>
      <c r="CK215" s="117"/>
      <c r="CL215" s="117"/>
      <c r="CM215" s="117"/>
      <c r="CN215" s="117"/>
      <c r="CO215" s="117"/>
      <c r="CP215" s="117"/>
      <c r="CQ215" s="117"/>
      <c r="CR215" s="117"/>
      <c r="CS215" s="117"/>
      <c r="CT215" s="117"/>
      <c r="CU215" s="117"/>
      <c r="CV215" s="117"/>
      <c r="CW215" s="117"/>
      <c r="CX215" s="117"/>
      <c r="CY215" s="117"/>
      <c r="CZ215" s="117"/>
      <c r="DA215" s="117"/>
      <c r="DB215" s="117"/>
      <c r="DC215" s="117"/>
      <c r="DD215" s="117"/>
      <c r="DE215" s="117"/>
      <c r="DF215" s="117"/>
      <c r="DG215" s="117"/>
      <c r="DH215" s="117"/>
      <c r="DI215" s="117"/>
      <c r="DJ215" s="117"/>
      <c r="DK215" s="117"/>
      <c r="DL215" s="117"/>
      <c r="DM215" s="117"/>
      <c r="DN215" s="117"/>
      <c r="DO215" s="117"/>
      <c r="DP215" s="117"/>
      <c r="DQ215" s="117"/>
      <c r="DR215" s="117"/>
      <c r="DS215" s="117"/>
      <c r="DT215" s="117"/>
      <c r="DU215" s="117"/>
      <c r="DV215" s="117"/>
      <c r="DW215" s="117"/>
      <c r="DX215" s="117"/>
      <c r="DY215" s="117"/>
      <c r="DZ215" s="117"/>
      <c r="EA215" s="117"/>
      <c r="EB215" s="117"/>
      <c r="EC215" s="117"/>
      <c r="ED215" s="117"/>
      <c r="EE215" s="117"/>
      <c r="EF215" s="117"/>
      <c r="EG215" s="117"/>
      <c r="EH215" s="117"/>
      <c r="EI215" s="117"/>
      <c r="EJ215" s="117"/>
      <c r="EK215" s="117"/>
      <c r="EL215" s="117"/>
      <c r="EM215" s="117"/>
      <c r="EN215" s="117"/>
      <c r="EO215" s="117"/>
      <c r="EP215" s="117"/>
      <c r="EQ215" s="117"/>
      <c r="ER215" s="117"/>
      <c r="ES215" s="117"/>
      <c r="ET215" s="117"/>
      <c r="EU215" s="117"/>
      <c r="EV215" s="117"/>
      <c r="EW215" s="117"/>
      <c r="EX215" s="117"/>
      <c r="EY215" s="117"/>
      <c r="EZ215" s="117"/>
      <c r="FA215" s="117"/>
      <c r="FB215" s="117"/>
      <c r="FC215" s="117"/>
      <c r="FD215" s="117"/>
      <c r="FE215" s="117"/>
      <c r="FF215" s="117"/>
      <c r="FG215" s="117"/>
      <c r="FH215" s="117"/>
      <c r="FI215" s="117"/>
      <c r="FJ215" s="117"/>
      <c r="FK215" s="117"/>
      <c r="FL215" s="117"/>
      <c r="FM215" s="117"/>
      <c r="FN215" s="117"/>
      <c r="FO215" s="117"/>
      <c r="FP215" s="117"/>
      <c r="FQ215" s="117"/>
      <c r="FR215" s="117"/>
      <c r="FS215" s="117"/>
      <c r="FT215" s="117"/>
      <c r="FU215" s="117"/>
      <c r="FV215" s="117"/>
      <c r="FW215" s="117"/>
      <c r="FX215" s="117"/>
      <c r="FY215" s="117"/>
      <c r="FZ215" s="117"/>
      <c r="GA215" s="117"/>
      <c r="GB215" s="117"/>
      <c r="GC215" s="117"/>
      <c r="GD215" s="117"/>
      <c r="GE215" s="117"/>
    </row>
    <row r="216" spans="1:187" s="11" customFormat="1" ht="15" hidden="1">
      <c r="A216" s="74" t="s">
        <v>10</v>
      </c>
      <c r="B216" s="51"/>
      <c r="C216" s="53" t="s">
        <v>379</v>
      </c>
      <c r="D216" s="220"/>
      <c r="E216" s="47"/>
      <c r="F216" s="47"/>
      <c r="G216" s="47"/>
      <c r="H216" s="47"/>
      <c r="I216" s="47"/>
      <c r="J216" s="4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117"/>
      <c r="BW216" s="117"/>
      <c r="BX216" s="117"/>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c r="CZ216" s="117"/>
      <c r="DA216" s="117"/>
      <c r="DB216" s="117"/>
      <c r="DC216" s="117"/>
      <c r="DD216" s="117"/>
      <c r="DE216" s="117"/>
      <c r="DF216" s="117"/>
      <c r="DG216" s="117"/>
      <c r="DH216" s="117"/>
      <c r="DI216" s="117"/>
      <c r="DJ216" s="117"/>
      <c r="DK216" s="117"/>
      <c r="DL216" s="117"/>
      <c r="DM216" s="117"/>
      <c r="DN216" s="117"/>
      <c r="DO216" s="117"/>
      <c r="DP216" s="117"/>
      <c r="DQ216" s="117"/>
      <c r="DR216" s="117"/>
      <c r="DS216" s="117"/>
      <c r="DT216" s="117"/>
      <c r="DU216" s="117"/>
      <c r="DV216" s="117"/>
      <c r="DW216" s="117"/>
      <c r="DX216" s="117"/>
      <c r="DY216" s="117"/>
      <c r="DZ216" s="117"/>
      <c r="EA216" s="117"/>
      <c r="EB216" s="117"/>
      <c r="EC216" s="117"/>
      <c r="ED216" s="117"/>
      <c r="EE216" s="117"/>
      <c r="EF216" s="117"/>
      <c r="EG216" s="117"/>
      <c r="EH216" s="117"/>
      <c r="EI216" s="117"/>
      <c r="EJ216" s="117"/>
      <c r="EK216" s="117"/>
      <c r="EL216" s="117"/>
      <c r="EM216" s="117"/>
      <c r="EN216" s="117"/>
      <c r="EO216" s="117"/>
      <c r="EP216" s="117"/>
      <c r="EQ216" s="117"/>
      <c r="ER216" s="117"/>
      <c r="ES216" s="117"/>
      <c r="ET216" s="117"/>
      <c r="EU216" s="117"/>
      <c r="EV216" s="117"/>
      <c r="EW216" s="117"/>
      <c r="EX216" s="117"/>
      <c r="EY216" s="117"/>
      <c r="EZ216" s="117"/>
      <c r="FA216" s="117"/>
      <c r="FB216" s="117"/>
      <c r="FC216" s="117"/>
      <c r="FD216" s="117"/>
      <c r="FE216" s="117"/>
      <c r="FF216" s="117"/>
      <c r="FG216" s="117"/>
      <c r="FH216" s="117"/>
      <c r="FI216" s="117"/>
      <c r="FJ216" s="117"/>
      <c r="FK216" s="117"/>
      <c r="FL216" s="117"/>
      <c r="FM216" s="117"/>
      <c r="FN216" s="117"/>
      <c r="FO216" s="117"/>
      <c r="FP216" s="117"/>
      <c r="FQ216" s="117"/>
      <c r="FR216" s="117"/>
      <c r="FS216" s="117"/>
      <c r="FT216" s="117"/>
      <c r="FU216" s="117"/>
      <c r="FV216" s="117"/>
      <c r="FW216" s="117"/>
      <c r="FX216" s="117"/>
      <c r="FY216" s="117"/>
      <c r="FZ216" s="117"/>
      <c r="GA216" s="117"/>
      <c r="GB216" s="117"/>
      <c r="GC216" s="117"/>
      <c r="GD216" s="117"/>
      <c r="GE216" s="117"/>
    </row>
    <row r="217" spans="1:187" s="11" customFormat="1" ht="14.25" customHeight="1">
      <c r="A217" s="73" t="s">
        <v>3</v>
      </c>
      <c r="B217" s="51"/>
      <c r="C217" s="53" t="s">
        <v>380</v>
      </c>
      <c r="D217" s="220">
        <f>SUM(E217:J217)</f>
        <v>196785.6</v>
      </c>
      <c r="E217" s="47">
        <f>'Местный бюджет'!G330+'Местный бюджет'!G331+'Местный бюджет'!G332</f>
        <v>188000</v>
      </c>
      <c r="F217" s="47"/>
      <c r="G217" s="47"/>
      <c r="H217" s="47">
        <f>Внебюджет!G334</f>
        <v>8785.6</v>
      </c>
      <c r="I217" s="47"/>
      <c r="J217" s="4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117"/>
      <c r="AU217" s="117"/>
      <c r="AV217" s="117"/>
      <c r="AW217" s="117"/>
      <c r="AX217" s="117"/>
      <c r="AY217" s="117"/>
      <c r="AZ217" s="117"/>
      <c r="BA217" s="117"/>
      <c r="BB217" s="117"/>
      <c r="BC217" s="117"/>
      <c r="BD217" s="117"/>
      <c r="BE217" s="117"/>
      <c r="BF217" s="117"/>
      <c r="BG217" s="117"/>
      <c r="BH217" s="117"/>
      <c r="BI217" s="117"/>
      <c r="BJ217" s="117"/>
      <c r="BK217" s="117"/>
      <c r="BL217" s="117"/>
      <c r="BM217" s="117"/>
      <c r="BN217" s="117"/>
      <c r="BO217" s="117"/>
      <c r="BP217" s="117"/>
      <c r="BQ217" s="117"/>
      <c r="BR217" s="117"/>
      <c r="BS217" s="117"/>
      <c r="BT217" s="117"/>
      <c r="BU217" s="117"/>
      <c r="BV217" s="117"/>
      <c r="BW217" s="117"/>
      <c r="BX217" s="117"/>
      <c r="BY217" s="117"/>
      <c r="BZ217" s="117"/>
      <c r="CA217" s="117"/>
      <c r="CB217" s="117"/>
      <c r="CC217" s="117"/>
      <c r="CD217" s="117"/>
      <c r="CE217" s="117"/>
      <c r="CF217" s="117"/>
      <c r="CG217" s="117"/>
      <c r="CH217" s="117"/>
      <c r="CI217" s="117"/>
      <c r="CJ217" s="117"/>
      <c r="CK217" s="117"/>
      <c r="CL217" s="117"/>
      <c r="CM217" s="117"/>
      <c r="CN217" s="117"/>
      <c r="CO217" s="117"/>
      <c r="CP217" s="117"/>
      <c r="CQ217" s="117"/>
      <c r="CR217" s="117"/>
      <c r="CS217" s="117"/>
      <c r="CT217" s="117"/>
      <c r="CU217" s="117"/>
      <c r="CV217" s="117"/>
      <c r="CW217" s="117"/>
      <c r="CX217" s="117"/>
      <c r="CY217" s="117"/>
      <c r="CZ217" s="117"/>
      <c r="DA217" s="117"/>
      <c r="DB217" s="117"/>
      <c r="DC217" s="117"/>
      <c r="DD217" s="117"/>
      <c r="DE217" s="117"/>
      <c r="DF217" s="117"/>
      <c r="DG217" s="117"/>
      <c r="DH217" s="117"/>
      <c r="DI217" s="117"/>
      <c r="DJ217" s="117"/>
      <c r="DK217" s="117"/>
      <c r="DL217" s="117"/>
      <c r="DM217" s="117"/>
      <c r="DN217" s="117"/>
      <c r="DO217" s="117"/>
      <c r="DP217" s="117"/>
      <c r="DQ217" s="117"/>
      <c r="DR217" s="117"/>
      <c r="DS217" s="117"/>
      <c r="DT217" s="117"/>
      <c r="DU217" s="117"/>
      <c r="DV217" s="117"/>
      <c r="DW217" s="117"/>
      <c r="DX217" s="117"/>
      <c r="DY217" s="117"/>
      <c r="DZ217" s="117"/>
      <c r="EA217" s="117"/>
      <c r="EB217" s="117"/>
      <c r="EC217" s="117"/>
      <c r="ED217" s="117"/>
      <c r="EE217" s="117"/>
      <c r="EF217" s="117"/>
      <c r="EG217" s="117"/>
      <c r="EH217" s="117"/>
      <c r="EI217" s="117"/>
      <c r="EJ217" s="117"/>
      <c r="EK217" s="117"/>
      <c r="EL217" s="117"/>
      <c r="EM217" s="117"/>
      <c r="EN217" s="117"/>
      <c r="EO217" s="117"/>
      <c r="EP217" s="117"/>
      <c r="EQ217" s="117"/>
      <c r="ER217" s="117"/>
      <c r="ES217" s="117"/>
      <c r="ET217" s="117"/>
      <c r="EU217" s="117"/>
      <c r="EV217" s="117"/>
      <c r="EW217" s="117"/>
      <c r="EX217" s="117"/>
      <c r="EY217" s="117"/>
      <c r="EZ217" s="117"/>
      <c r="FA217" s="117"/>
      <c r="FB217" s="117"/>
      <c r="FC217" s="117"/>
      <c r="FD217" s="117"/>
      <c r="FE217" s="117"/>
      <c r="FF217" s="117"/>
      <c r="FG217" s="117"/>
      <c r="FH217" s="117"/>
      <c r="FI217" s="117"/>
      <c r="FJ217" s="117"/>
      <c r="FK217" s="117"/>
      <c r="FL217" s="117"/>
      <c r="FM217" s="117"/>
      <c r="FN217" s="117"/>
      <c r="FO217" s="117"/>
      <c r="FP217" s="117"/>
      <c r="FQ217" s="117"/>
      <c r="FR217" s="117"/>
      <c r="FS217" s="117"/>
      <c r="FT217" s="117"/>
      <c r="FU217" s="117"/>
      <c r="FV217" s="117"/>
      <c r="FW217" s="117"/>
      <c r="FX217" s="117"/>
      <c r="FY217" s="117"/>
      <c r="FZ217" s="117"/>
      <c r="GA217" s="117"/>
      <c r="GB217" s="117"/>
      <c r="GC217" s="117"/>
      <c r="GD217" s="117"/>
      <c r="GE217" s="117"/>
    </row>
    <row r="218" spans="1:187" s="11" customFormat="1" ht="15" hidden="1">
      <c r="A218" s="73" t="s">
        <v>3</v>
      </c>
      <c r="B218" s="51"/>
      <c r="C218" s="53" t="s">
        <v>552</v>
      </c>
      <c r="D218" s="220">
        <f>SUM(E218:J218)</f>
        <v>0</v>
      </c>
      <c r="E218" s="47"/>
      <c r="F218" s="47"/>
      <c r="G218" s="47"/>
      <c r="H218" s="47"/>
      <c r="I218" s="47"/>
      <c r="J218" s="4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s="117"/>
      <c r="BV218" s="117"/>
      <c r="BW218" s="117"/>
      <c r="BX218" s="117"/>
      <c r="BY218" s="117"/>
      <c r="BZ218" s="117"/>
      <c r="CA218" s="117"/>
      <c r="CB218" s="117"/>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c r="CZ218" s="117"/>
      <c r="DA218" s="117"/>
      <c r="DB218" s="117"/>
      <c r="DC218" s="117"/>
      <c r="DD218" s="117"/>
      <c r="DE218" s="117"/>
      <c r="DF218" s="117"/>
      <c r="DG218" s="117"/>
      <c r="DH218" s="117"/>
      <c r="DI218" s="117"/>
      <c r="DJ218" s="117"/>
      <c r="DK218" s="117"/>
      <c r="DL218" s="117"/>
      <c r="DM218" s="117"/>
      <c r="DN218" s="117"/>
      <c r="DO218" s="117"/>
      <c r="DP218" s="117"/>
      <c r="DQ218" s="117"/>
      <c r="DR218" s="117"/>
      <c r="DS218" s="117"/>
      <c r="DT218" s="117"/>
      <c r="DU218" s="117"/>
      <c r="DV218" s="117"/>
      <c r="DW218" s="117"/>
      <c r="DX218" s="117"/>
      <c r="DY218" s="117"/>
      <c r="DZ218" s="117"/>
      <c r="EA218" s="117"/>
      <c r="EB218" s="117"/>
      <c r="EC218" s="117"/>
      <c r="ED218" s="117"/>
      <c r="EE218" s="117"/>
      <c r="EF218" s="117"/>
      <c r="EG218" s="117"/>
      <c r="EH218" s="117"/>
      <c r="EI218" s="117"/>
      <c r="EJ218" s="117"/>
      <c r="EK218" s="117"/>
      <c r="EL218" s="117"/>
      <c r="EM218" s="117"/>
      <c r="EN218" s="117"/>
      <c r="EO218" s="117"/>
      <c r="EP218" s="117"/>
      <c r="EQ218" s="117"/>
      <c r="ER218" s="117"/>
      <c r="ES218" s="117"/>
      <c r="ET218" s="117"/>
      <c r="EU218" s="117"/>
      <c r="EV218" s="117"/>
      <c r="EW218" s="117"/>
      <c r="EX218" s="117"/>
      <c r="EY218" s="117"/>
      <c r="EZ218" s="117"/>
      <c r="FA218" s="117"/>
      <c r="FB218" s="117"/>
      <c r="FC218" s="117"/>
      <c r="FD218" s="117"/>
      <c r="FE218" s="117"/>
      <c r="FF218" s="117"/>
      <c r="FG218" s="117"/>
      <c r="FH218" s="117"/>
      <c r="FI218" s="117"/>
      <c r="FJ218" s="117"/>
      <c r="FK218" s="117"/>
      <c r="FL218" s="117"/>
      <c r="FM218" s="117"/>
      <c r="FN218" s="117"/>
      <c r="FO218" s="117"/>
      <c r="FP218" s="117"/>
      <c r="FQ218" s="117"/>
      <c r="FR218" s="117"/>
      <c r="FS218" s="117"/>
      <c r="FT218" s="117"/>
      <c r="FU218" s="117"/>
      <c r="FV218" s="117"/>
      <c r="FW218" s="117"/>
      <c r="FX218" s="117"/>
      <c r="FY218" s="117"/>
      <c r="FZ218" s="117"/>
      <c r="GA218" s="117"/>
      <c r="GB218" s="117"/>
      <c r="GC218" s="117"/>
      <c r="GD218" s="117"/>
      <c r="GE218" s="117"/>
    </row>
    <row r="219" spans="1:187" s="11" customFormat="1" ht="15" hidden="1">
      <c r="A219" s="73" t="s">
        <v>67</v>
      </c>
      <c r="B219" s="51"/>
      <c r="C219" s="53" t="s">
        <v>381</v>
      </c>
      <c r="D219" s="220"/>
      <c r="E219" s="47"/>
      <c r="F219" s="47"/>
      <c r="G219" s="47"/>
      <c r="H219" s="47"/>
      <c r="I219" s="47"/>
      <c r="J219" s="4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c r="AV219" s="117"/>
      <c r="AW219" s="117"/>
      <c r="AX219" s="117"/>
      <c r="AY219" s="117"/>
      <c r="AZ219" s="117"/>
      <c r="BA219" s="117"/>
      <c r="BB219" s="117"/>
      <c r="BC219" s="117"/>
      <c r="BD219" s="117"/>
      <c r="BE219" s="117"/>
      <c r="BF219" s="117"/>
      <c r="BG219" s="117"/>
      <c r="BH219" s="117"/>
      <c r="BI219" s="117"/>
      <c r="BJ219" s="117"/>
      <c r="BK219" s="117"/>
      <c r="BL219" s="117"/>
      <c r="BM219" s="117"/>
      <c r="BN219" s="117"/>
      <c r="BO219" s="117"/>
      <c r="BP219" s="117"/>
      <c r="BQ219" s="117"/>
      <c r="BR219" s="117"/>
      <c r="BS219" s="117"/>
      <c r="BT219" s="117"/>
      <c r="BU219" s="117"/>
      <c r="BV219" s="117"/>
      <c r="BW219" s="117"/>
      <c r="BX219" s="117"/>
      <c r="BY219" s="117"/>
      <c r="BZ219" s="117"/>
      <c r="CA219" s="117"/>
      <c r="CB219" s="117"/>
      <c r="CC219" s="117"/>
      <c r="CD219" s="117"/>
      <c r="CE219" s="117"/>
      <c r="CF219" s="117"/>
      <c r="CG219" s="117"/>
      <c r="CH219" s="117"/>
      <c r="CI219" s="117"/>
      <c r="CJ219" s="117"/>
      <c r="CK219" s="117"/>
      <c r="CL219" s="117"/>
      <c r="CM219" s="117"/>
      <c r="CN219" s="117"/>
      <c r="CO219" s="117"/>
      <c r="CP219" s="117"/>
      <c r="CQ219" s="117"/>
      <c r="CR219" s="117"/>
      <c r="CS219" s="117"/>
      <c r="CT219" s="117"/>
      <c r="CU219" s="117"/>
      <c r="CV219" s="117"/>
      <c r="CW219" s="117"/>
      <c r="CX219" s="117"/>
      <c r="CY219" s="117"/>
      <c r="CZ219" s="117"/>
      <c r="DA219" s="117"/>
      <c r="DB219" s="117"/>
      <c r="DC219" s="117"/>
      <c r="DD219" s="117"/>
      <c r="DE219" s="117"/>
      <c r="DF219" s="117"/>
      <c r="DG219" s="117"/>
      <c r="DH219" s="117"/>
      <c r="DI219" s="117"/>
      <c r="DJ219" s="117"/>
      <c r="DK219" s="117"/>
      <c r="DL219" s="117"/>
      <c r="DM219" s="117"/>
      <c r="DN219" s="117"/>
      <c r="DO219" s="117"/>
      <c r="DP219" s="117"/>
      <c r="DQ219" s="117"/>
      <c r="DR219" s="117"/>
      <c r="DS219" s="117"/>
      <c r="DT219" s="117"/>
      <c r="DU219" s="117"/>
      <c r="DV219" s="117"/>
      <c r="DW219" s="117"/>
      <c r="DX219" s="117"/>
      <c r="DY219" s="117"/>
      <c r="DZ219" s="117"/>
      <c r="EA219" s="117"/>
      <c r="EB219" s="117"/>
      <c r="EC219" s="117"/>
      <c r="ED219" s="117"/>
      <c r="EE219" s="117"/>
      <c r="EF219" s="117"/>
      <c r="EG219" s="117"/>
      <c r="EH219" s="117"/>
      <c r="EI219" s="117"/>
      <c r="EJ219" s="117"/>
      <c r="EK219" s="117"/>
      <c r="EL219" s="117"/>
      <c r="EM219" s="117"/>
      <c r="EN219" s="117"/>
      <c r="EO219" s="117"/>
      <c r="EP219" s="117"/>
      <c r="EQ219" s="117"/>
      <c r="ER219" s="117"/>
      <c r="ES219" s="117"/>
      <c r="ET219" s="117"/>
      <c r="EU219" s="117"/>
      <c r="EV219" s="117"/>
      <c r="EW219" s="117"/>
      <c r="EX219" s="117"/>
      <c r="EY219" s="117"/>
      <c r="EZ219" s="117"/>
      <c r="FA219" s="117"/>
      <c r="FB219" s="117"/>
      <c r="FC219" s="117"/>
      <c r="FD219" s="117"/>
      <c r="FE219" s="117"/>
      <c r="FF219" s="117"/>
      <c r="FG219" s="117"/>
      <c r="FH219" s="117"/>
      <c r="FI219" s="117"/>
      <c r="FJ219" s="117"/>
      <c r="FK219" s="117"/>
      <c r="FL219" s="117"/>
      <c r="FM219" s="117"/>
      <c r="FN219" s="117"/>
      <c r="FO219" s="117"/>
      <c r="FP219" s="117"/>
      <c r="FQ219" s="117"/>
      <c r="FR219" s="117"/>
      <c r="FS219" s="117"/>
      <c r="FT219" s="117"/>
      <c r="FU219" s="117"/>
      <c r="FV219" s="117"/>
      <c r="FW219" s="117"/>
      <c r="FX219" s="117"/>
      <c r="FY219" s="117"/>
      <c r="FZ219" s="117"/>
      <c r="GA219" s="117"/>
      <c r="GB219" s="117"/>
      <c r="GC219" s="117"/>
      <c r="GD219" s="117"/>
      <c r="GE219" s="117"/>
    </row>
    <row r="220" spans="1:187" s="11" customFormat="1" ht="15">
      <c r="A220" s="73" t="s">
        <v>68</v>
      </c>
      <c r="B220" s="51"/>
      <c r="C220" s="53" t="s">
        <v>382</v>
      </c>
      <c r="D220" s="220">
        <f>SUM(E220:J220)</f>
        <v>616000</v>
      </c>
      <c r="E220" s="47">
        <f>'Местный бюджет'!G355</f>
        <v>551000</v>
      </c>
      <c r="F220" s="47">
        <f>'Областной бюджет'!F295</f>
        <v>50000</v>
      </c>
      <c r="G220" s="47"/>
      <c r="H220" s="47">
        <f>Внебюджет!F339</f>
        <v>15000</v>
      </c>
      <c r="I220" s="47"/>
      <c r="J220" s="4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7"/>
      <c r="BI220" s="117"/>
      <c r="BJ220" s="117"/>
      <c r="BK220" s="117"/>
      <c r="BL220" s="117"/>
      <c r="BM220" s="117"/>
      <c r="BN220" s="117"/>
      <c r="BO220" s="117"/>
      <c r="BP220" s="117"/>
      <c r="BQ220" s="117"/>
      <c r="BR220" s="117"/>
      <c r="BS220" s="117"/>
      <c r="BT220" s="117"/>
      <c r="BU220" s="117"/>
      <c r="BV220" s="117"/>
      <c r="BW220" s="117"/>
      <c r="BX220" s="117"/>
      <c r="BY220" s="117"/>
      <c r="BZ220" s="117"/>
      <c r="CA220" s="117"/>
      <c r="CB220" s="117"/>
      <c r="CC220" s="117"/>
      <c r="CD220" s="117"/>
      <c r="CE220" s="117"/>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7"/>
      <c r="DE220" s="117"/>
      <c r="DF220" s="117"/>
      <c r="DG220" s="117"/>
      <c r="DH220" s="117"/>
      <c r="DI220" s="117"/>
      <c r="DJ220" s="117"/>
      <c r="DK220" s="117"/>
      <c r="DL220" s="117"/>
      <c r="DM220" s="117"/>
      <c r="DN220" s="117"/>
      <c r="DO220" s="117"/>
      <c r="DP220" s="117"/>
      <c r="DQ220" s="117"/>
      <c r="DR220" s="117"/>
      <c r="DS220" s="117"/>
      <c r="DT220" s="117"/>
      <c r="DU220" s="117"/>
      <c r="DV220" s="117"/>
      <c r="DW220" s="117"/>
      <c r="DX220" s="117"/>
      <c r="DY220" s="117"/>
      <c r="DZ220" s="117"/>
      <c r="EA220" s="117"/>
      <c r="EB220" s="117"/>
      <c r="EC220" s="117"/>
      <c r="ED220" s="117"/>
      <c r="EE220" s="117"/>
      <c r="EF220" s="117"/>
      <c r="EG220" s="117"/>
      <c r="EH220" s="117"/>
      <c r="EI220" s="117"/>
      <c r="EJ220" s="117"/>
      <c r="EK220" s="117"/>
      <c r="EL220" s="117"/>
      <c r="EM220" s="117"/>
      <c r="EN220" s="117"/>
      <c r="EO220" s="117"/>
      <c r="EP220" s="117"/>
      <c r="EQ220" s="117"/>
      <c r="ER220" s="117"/>
      <c r="ES220" s="117"/>
      <c r="ET220" s="117"/>
      <c r="EU220" s="117"/>
      <c r="EV220" s="117"/>
      <c r="EW220" s="117"/>
      <c r="EX220" s="117"/>
      <c r="EY220" s="117"/>
      <c r="EZ220" s="117"/>
      <c r="FA220" s="117"/>
      <c r="FB220" s="117"/>
      <c r="FC220" s="117"/>
      <c r="FD220" s="117"/>
      <c r="FE220" s="117"/>
      <c r="FF220" s="117"/>
      <c r="FG220" s="117"/>
      <c r="FH220" s="117"/>
      <c r="FI220" s="117"/>
      <c r="FJ220" s="117"/>
      <c r="FK220" s="117"/>
      <c r="FL220" s="117"/>
      <c r="FM220" s="117"/>
      <c r="FN220" s="117"/>
      <c r="FO220" s="117"/>
      <c r="FP220" s="117"/>
      <c r="FQ220" s="117"/>
      <c r="FR220" s="117"/>
      <c r="FS220" s="117"/>
      <c r="FT220" s="117"/>
      <c r="FU220" s="117"/>
      <c r="FV220" s="117"/>
      <c r="FW220" s="117"/>
      <c r="FX220" s="117"/>
      <c r="FY220" s="117"/>
      <c r="FZ220" s="117"/>
      <c r="GA220" s="117"/>
      <c r="GB220" s="117"/>
      <c r="GC220" s="117"/>
      <c r="GD220" s="117"/>
      <c r="GE220" s="117"/>
    </row>
    <row r="221" spans="1:187" s="11" customFormat="1" ht="15.75" customHeight="1">
      <c r="A221" s="74" t="s">
        <v>4</v>
      </c>
      <c r="B221" s="51"/>
      <c r="C221" s="53"/>
      <c r="D221" s="220">
        <f>SUM(E221:J221)</f>
        <v>6636840</v>
      </c>
      <c r="E221" s="47">
        <f>'Местный бюджет'!G366</f>
        <v>2355000</v>
      </c>
      <c r="F221" s="47">
        <f>'Областной бюджет'!G303</f>
        <v>4276840</v>
      </c>
      <c r="G221" s="47">
        <f>G223</f>
        <v>0</v>
      </c>
      <c r="H221" s="47">
        <f>Внебюджет!G344</f>
        <v>5000</v>
      </c>
      <c r="I221" s="47"/>
      <c r="J221" s="4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7"/>
      <c r="BC221" s="117"/>
      <c r="BD221" s="117"/>
      <c r="BE221" s="117"/>
      <c r="BF221" s="117"/>
      <c r="BG221" s="117"/>
      <c r="BH221" s="117"/>
      <c r="BI221" s="117"/>
      <c r="BJ221" s="117"/>
      <c r="BK221" s="117"/>
      <c r="BL221" s="117"/>
      <c r="BM221" s="117"/>
      <c r="BN221" s="117"/>
      <c r="BO221" s="117"/>
      <c r="BP221" s="117"/>
      <c r="BQ221" s="117"/>
      <c r="BR221" s="117"/>
      <c r="BS221" s="117"/>
      <c r="BT221" s="117"/>
      <c r="BU221" s="117"/>
      <c r="BV221" s="117"/>
      <c r="BW221" s="117"/>
      <c r="BX221" s="117"/>
      <c r="BY221" s="117"/>
      <c r="BZ221" s="117"/>
      <c r="CA221" s="117"/>
      <c r="CB221" s="117"/>
      <c r="CC221" s="117"/>
      <c r="CD221" s="117"/>
      <c r="CE221" s="117"/>
      <c r="CF221" s="117"/>
      <c r="CG221" s="117"/>
      <c r="CH221" s="117"/>
      <c r="CI221" s="117"/>
      <c r="CJ221" s="117"/>
      <c r="CK221" s="117"/>
      <c r="CL221" s="117"/>
      <c r="CM221" s="117"/>
      <c r="CN221" s="117"/>
      <c r="CO221" s="117"/>
      <c r="CP221" s="117"/>
      <c r="CQ221" s="117"/>
      <c r="CR221" s="117"/>
      <c r="CS221" s="117"/>
      <c r="CT221" s="117"/>
      <c r="CU221" s="117"/>
      <c r="CV221" s="117"/>
      <c r="CW221" s="117"/>
      <c r="CX221" s="117"/>
      <c r="CY221" s="117"/>
      <c r="CZ221" s="117"/>
      <c r="DA221" s="117"/>
      <c r="DB221" s="117"/>
      <c r="DC221" s="117"/>
      <c r="DD221" s="117"/>
      <c r="DE221" s="117"/>
      <c r="DF221" s="117"/>
      <c r="DG221" s="117"/>
      <c r="DH221" s="117"/>
      <c r="DI221" s="117"/>
      <c r="DJ221" s="117"/>
      <c r="DK221" s="117"/>
      <c r="DL221" s="117"/>
      <c r="DM221" s="117"/>
      <c r="DN221" s="117"/>
      <c r="DO221" s="117"/>
      <c r="DP221" s="117"/>
      <c r="DQ221" s="117"/>
      <c r="DR221" s="117"/>
      <c r="DS221" s="117"/>
      <c r="DT221" s="117"/>
      <c r="DU221" s="117"/>
      <c r="DV221" s="117"/>
      <c r="DW221" s="117"/>
      <c r="DX221" s="117"/>
      <c r="DY221" s="117"/>
      <c r="DZ221" s="117"/>
      <c r="EA221" s="117"/>
      <c r="EB221" s="117"/>
      <c r="EC221" s="117"/>
      <c r="ED221" s="117"/>
      <c r="EE221" s="117"/>
      <c r="EF221" s="117"/>
      <c r="EG221" s="117"/>
      <c r="EH221" s="117"/>
      <c r="EI221" s="117"/>
      <c r="EJ221" s="117"/>
      <c r="EK221" s="117"/>
      <c r="EL221" s="117"/>
      <c r="EM221" s="117"/>
      <c r="EN221" s="117"/>
      <c r="EO221" s="117"/>
      <c r="EP221" s="117"/>
      <c r="EQ221" s="117"/>
      <c r="ER221" s="117"/>
      <c r="ES221" s="117"/>
      <c r="ET221" s="117"/>
      <c r="EU221" s="117"/>
      <c r="EV221" s="117"/>
      <c r="EW221" s="117"/>
      <c r="EX221" s="117"/>
      <c r="EY221" s="117"/>
      <c r="EZ221" s="117"/>
      <c r="FA221" s="117"/>
      <c r="FB221" s="117"/>
      <c r="FC221" s="117"/>
      <c r="FD221" s="117"/>
      <c r="FE221" s="117"/>
      <c r="FF221" s="117"/>
      <c r="FG221" s="117"/>
      <c r="FH221" s="117"/>
      <c r="FI221" s="117"/>
      <c r="FJ221" s="117"/>
      <c r="FK221" s="117"/>
      <c r="FL221" s="117"/>
      <c r="FM221" s="117"/>
      <c r="FN221" s="117"/>
      <c r="FO221" s="117"/>
      <c r="FP221" s="117"/>
      <c r="FQ221" s="117"/>
      <c r="FR221" s="117"/>
      <c r="FS221" s="117"/>
      <c r="FT221" s="117"/>
      <c r="FU221" s="117"/>
      <c r="FV221" s="117"/>
      <c r="FW221" s="117"/>
      <c r="FX221" s="117"/>
      <c r="FY221" s="117"/>
      <c r="FZ221" s="117"/>
      <c r="GA221" s="117"/>
      <c r="GB221" s="117"/>
      <c r="GC221" s="117"/>
      <c r="GD221" s="117"/>
      <c r="GE221" s="117"/>
    </row>
    <row r="222" spans="1:187" s="11" customFormat="1" ht="33.75" customHeight="1">
      <c r="A222" s="74" t="s">
        <v>758</v>
      </c>
      <c r="B222" s="51"/>
      <c r="C222" s="53" t="s">
        <v>383</v>
      </c>
      <c r="D222" s="220">
        <f>SUM(E222:J222)</f>
        <v>6636840</v>
      </c>
      <c r="E222" s="47">
        <f>E221</f>
        <v>2355000</v>
      </c>
      <c r="F222" s="47">
        <f>F221</f>
        <v>4276840</v>
      </c>
      <c r="G222" s="47"/>
      <c r="H222" s="47">
        <f>H221</f>
        <v>5000</v>
      </c>
      <c r="I222" s="47"/>
      <c r="J222" s="4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c r="AY222" s="117"/>
      <c r="AZ222" s="117"/>
      <c r="BA222" s="117"/>
      <c r="BB222" s="117"/>
      <c r="BC222" s="117"/>
      <c r="BD222" s="117"/>
      <c r="BE222" s="117"/>
      <c r="BF222" s="117"/>
      <c r="BG222" s="117"/>
      <c r="BH222" s="117"/>
      <c r="BI222" s="117"/>
      <c r="BJ222" s="117"/>
      <c r="BK222" s="117"/>
      <c r="BL222" s="117"/>
      <c r="BM222" s="117"/>
      <c r="BN222" s="117"/>
      <c r="BO222" s="117"/>
      <c r="BP222" s="117"/>
      <c r="BQ222" s="117"/>
      <c r="BR222" s="117"/>
      <c r="BS222" s="117"/>
      <c r="BT222" s="117"/>
      <c r="BU222" s="117"/>
      <c r="BV222" s="117"/>
      <c r="BW222" s="117"/>
      <c r="BX222" s="117"/>
      <c r="BY222" s="117"/>
      <c r="BZ222" s="117"/>
      <c r="CA222" s="117"/>
      <c r="CB222" s="117"/>
      <c r="CC222" s="117"/>
      <c r="CD222" s="117"/>
      <c r="CE222" s="117"/>
      <c r="CF222" s="117"/>
      <c r="CG222" s="117"/>
      <c r="CH222" s="117"/>
      <c r="CI222" s="117"/>
      <c r="CJ222" s="117"/>
      <c r="CK222" s="117"/>
      <c r="CL222" s="117"/>
      <c r="CM222" s="117"/>
      <c r="CN222" s="117"/>
      <c r="CO222" s="117"/>
      <c r="CP222" s="117"/>
      <c r="CQ222" s="117"/>
      <c r="CR222" s="117"/>
      <c r="CS222" s="117"/>
      <c r="CT222" s="117"/>
      <c r="CU222" s="117"/>
      <c r="CV222" s="117"/>
      <c r="CW222" s="117"/>
      <c r="CX222" s="117"/>
      <c r="CY222" s="117"/>
      <c r="CZ222" s="117"/>
      <c r="DA222" s="117"/>
      <c r="DB222" s="117"/>
      <c r="DC222" s="117"/>
      <c r="DD222" s="117"/>
      <c r="DE222" s="117"/>
      <c r="DF222" s="117"/>
      <c r="DG222" s="117"/>
      <c r="DH222" s="117"/>
      <c r="DI222" s="117"/>
      <c r="DJ222" s="117"/>
      <c r="DK222" s="117"/>
      <c r="DL222" s="117"/>
      <c r="DM222" s="117"/>
      <c r="DN222" s="117"/>
      <c r="DO222" s="117"/>
      <c r="DP222" s="117"/>
      <c r="DQ222" s="117"/>
      <c r="DR222" s="117"/>
      <c r="DS222" s="117"/>
      <c r="DT222" s="117"/>
      <c r="DU222" s="117"/>
      <c r="DV222" s="117"/>
      <c r="DW222" s="117"/>
      <c r="DX222" s="117"/>
      <c r="DY222" s="117"/>
      <c r="DZ222" s="117"/>
      <c r="EA222" s="117"/>
      <c r="EB222" s="117"/>
      <c r="EC222" s="117"/>
      <c r="ED222" s="117"/>
      <c r="EE222" s="117"/>
      <c r="EF222" s="117"/>
      <c r="EG222" s="117"/>
      <c r="EH222" s="117"/>
      <c r="EI222" s="117"/>
      <c r="EJ222" s="117"/>
      <c r="EK222" s="117"/>
      <c r="EL222" s="117"/>
      <c r="EM222" s="117"/>
      <c r="EN222" s="117"/>
      <c r="EO222" s="117"/>
      <c r="EP222" s="117"/>
      <c r="EQ222" s="117"/>
      <c r="ER222" s="117"/>
      <c r="ES222" s="117"/>
      <c r="ET222" s="117"/>
      <c r="EU222" s="117"/>
      <c r="EV222" s="117"/>
      <c r="EW222" s="117"/>
      <c r="EX222" s="117"/>
      <c r="EY222" s="117"/>
      <c r="EZ222" s="117"/>
      <c r="FA222" s="117"/>
      <c r="FB222" s="117"/>
      <c r="FC222" s="117"/>
      <c r="FD222" s="117"/>
      <c r="FE222" s="117"/>
      <c r="FF222" s="117"/>
      <c r="FG222" s="117"/>
      <c r="FH222" s="117"/>
      <c r="FI222" s="117"/>
      <c r="FJ222" s="117"/>
      <c r="FK222" s="117"/>
      <c r="FL222" s="117"/>
      <c r="FM222" s="117"/>
      <c r="FN222" s="117"/>
      <c r="FO222" s="117"/>
      <c r="FP222" s="117"/>
      <c r="FQ222" s="117"/>
      <c r="FR222" s="117"/>
      <c r="FS222" s="117"/>
      <c r="FT222" s="117"/>
      <c r="FU222" s="117"/>
      <c r="FV222" s="117"/>
      <c r="FW222" s="117"/>
      <c r="FX222" s="117"/>
      <c r="FY222" s="117"/>
      <c r="FZ222" s="117"/>
      <c r="GA222" s="117"/>
      <c r="GB222" s="117"/>
      <c r="GC222" s="117"/>
      <c r="GD222" s="117"/>
      <c r="GE222" s="117"/>
    </row>
    <row r="223" spans="1:187" s="1" customFormat="1" ht="18.75" customHeight="1">
      <c r="A223" s="352" t="s">
        <v>691</v>
      </c>
      <c r="B223" s="51"/>
      <c r="C223" s="53" t="s">
        <v>383</v>
      </c>
      <c r="D223" s="303">
        <f>G223</f>
        <v>0</v>
      </c>
      <c r="E223" s="47"/>
      <c r="F223" s="47"/>
      <c r="G223" s="304">
        <f>'Иные цели'!G808</f>
        <v>0</v>
      </c>
      <c r="H223" s="47"/>
      <c r="I223" s="47"/>
      <c r="J223" s="47"/>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c r="BV223" s="72"/>
      <c r="BW223" s="72"/>
      <c r="BX223" s="72"/>
      <c r="BY223" s="72"/>
      <c r="BZ223" s="72"/>
      <c r="CA223" s="72"/>
      <c r="CB223" s="72"/>
      <c r="CC223" s="72"/>
      <c r="CD223" s="72"/>
      <c r="CE223" s="72"/>
      <c r="CF223" s="72"/>
      <c r="CG223" s="72"/>
      <c r="CH223" s="72"/>
      <c r="CI223" s="72"/>
      <c r="CJ223" s="72"/>
      <c r="CK223" s="72"/>
      <c r="CL223" s="72"/>
      <c r="CM223" s="72"/>
      <c r="CN223" s="72"/>
      <c r="CO223" s="72"/>
      <c r="CP223" s="72"/>
      <c r="CQ223" s="72"/>
      <c r="CR223" s="72"/>
      <c r="CS223" s="72"/>
      <c r="CT223" s="72"/>
      <c r="CU223" s="72"/>
      <c r="CV223" s="72"/>
      <c r="CW223" s="72"/>
      <c r="CX223" s="72"/>
      <c r="CY223" s="72"/>
      <c r="CZ223" s="72"/>
      <c r="DA223" s="72"/>
      <c r="DB223" s="72"/>
      <c r="DC223" s="72"/>
      <c r="DD223" s="72"/>
      <c r="DE223" s="72"/>
      <c r="DF223" s="72"/>
      <c r="DG223" s="72"/>
      <c r="DH223" s="72"/>
      <c r="DI223" s="72"/>
      <c r="DJ223" s="72"/>
      <c r="DK223" s="72"/>
      <c r="DL223" s="72"/>
      <c r="DM223" s="72"/>
      <c r="DN223" s="72"/>
      <c r="DO223" s="72"/>
      <c r="DP223" s="72"/>
      <c r="DQ223" s="72"/>
      <c r="DR223" s="72"/>
      <c r="DS223" s="72"/>
      <c r="DT223" s="72"/>
      <c r="DU223" s="72"/>
      <c r="DV223" s="72"/>
      <c r="DW223" s="72"/>
      <c r="DX223" s="72"/>
      <c r="DY223" s="72"/>
      <c r="DZ223" s="72"/>
      <c r="EA223" s="72"/>
      <c r="EB223" s="72"/>
      <c r="EC223" s="72"/>
      <c r="ED223" s="72"/>
      <c r="EE223" s="72"/>
      <c r="EF223" s="72"/>
      <c r="EG223" s="72"/>
      <c r="EH223" s="72"/>
      <c r="EI223" s="72"/>
      <c r="EJ223" s="72"/>
      <c r="EK223" s="72"/>
      <c r="EL223" s="72"/>
      <c r="EM223" s="72"/>
      <c r="EN223" s="72"/>
      <c r="EO223" s="72"/>
      <c r="EP223" s="72"/>
      <c r="EQ223" s="72"/>
      <c r="ER223" s="72"/>
      <c r="ES223" s="72"/>
      <c r="ET223" s="72"/>
      <c r="EU223" s="72"/>
      <c r="EV223" s="72"/>
      <c r="EW223" s="72"/>
      <c r="EX223" s="72"/>
      <c r="EY223" s="72"/>
      <c r="EZ223" s="72"/>
      <c r="FA223" s="72"/>
      <c r="FB223" s="72"/>
      <c r="FC223" s="72"/>
      <c r="FD223" s="72"/>
      <c r="FE223" s="72"/>
      <c r="FF223" s="72"/>
      <c r="FG223" s="72"/>
      <c r="FH223" s="72"/>
      <c r="FI223" s="72"/>
      <c r="FJ223" s="72"/>
      <c r="FK223" s="72"/>
      <c r="FL223" s="72"/>
      <c r="FM223" s="72"/>
      <c r="FN223" s="72"/>
      <c r="FO223" s="72"/>
      <c r="FP223" s="72"/>
      <c r="FQ223" s="72"/>
      <c r="FR223" s="72"/>
      <c r="FS223" s="72"/>
      <c r="FT223" s="72"/>
      <c r="FU223" s="72"/>
      <c r="FV223" s="72"/>
      <c r="FW223" s="72"/>
      <c r="FX223" s="72"/>
      <c r="FY223" s="72"/>
      <c r="FZ223" s="72"/>
      <c r="GA223" s="72"/>
      <c r="GB223" s="72"/>
      <c r="GC223" s="72"/>
      <c r="GD223" s="72"/>
      <c r="GE223" s="72"/>
    </row>
    <row r="224" spans="1:187" s="11" customFormat="1" ht="15" hidden="1">
      <c r="A224" s="73" t="s">
        <v>61</v>
      </c>
      <c r="B224" s="51"/>
      <c r="C224" s="53" t="s">
        <v>384</v>
      </c>
      <c r="D224" s="220">
        <f>SUM(E224:J224)</f>
        <v>0</v>
      </c>
      <c r="E224" s="47"/>
      <c r="F224" s="47"/>
      <c r="G224" s="47"/>
      <c r="H224" s="47"/>
      <c r="I224" s="47"/>
      <c r="J224" s="4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117"/>
      <c r="DD224" s="117"/>
      <c r="DE224" s="117"/>
      <c r="DF224" s="117"/>
      <c r="DG224" s="117"/>
      <c r="DH224" s="117"/>
      <c r="DI224" s="117"/>
      <c r="DJ224" s="117"/>
      <c r="DK224" s="117"/>
      <c r="DL224" s="117"/>
      <c r="DM224" s="117"/>
      <c r="DN224" s="117"/>
      <c r="DO224" s="117"/>
      <c r="DP224" s="117"/>
      <c r="DQ224" s="117"/>
      <c r="DR224" s="117"/>
      <c r="DS224" s="117"/>
      <c r="DT224" s="117"/>
      <c r="DU224" s="117"/>
      <c r="DV224" s="117"/>
      <c r="DW224" s="117"/>
      <c r="DX224" s="117"/>
      <c r="DY224" s="117"/>
      <c r="DZ224" s="117"/>
      <c r="EA224" s="117"/>
      <c r="EB224" s="117"/>
      <c r="EC224" s="117"/>
      <c r="ED224" s="117"/>
      <c r="EE224" s="117"/>
      <c r="EF224" s="117"/>
      <c r="EG224" s="117"/>
      <c r="EH224" s="117"/>
      <c r="EI224" s="117"/>
      <c r="EJ224" s="117"/>
      <c r="EK224" s="117"/>
      <c r="EL224" s="117"/>
      <c r="EM224" s="117"/>
      <c r="EN224" s="117"/>
      <c r="EO224" s="117"/>
      <c r="EP224" s="117"/>
      <c r="EQ224" s="117"/>
      <c r="ER224" s="117"/>
      <c r="ES224" s="117"/>
      <c r="ET224" s="117"/>
      <c r="EU224" s="117"/>
      <c r="EV224" s="117"/>
      <c r="EW224" s="117"/>
      <c r="EX224" s="117"/>
      <c r="EY224" s="117"/>
      <c r="EZ224" s="117"/>
      <c r="FA224" s="117"/>
      <c r="FB224" s="117"/>
      <c r="FC224" s="117"/>
      <c r="FD224" s="117"/>
      <c r="FE224" s="117"/>
      <c r="FF224" s="117"/>
      <c r="FG224" s="117"/>
      <c r="FH224" s="117"/>
      <c r="FI224" s="117"/>
      <c r="FJ224" s="117"/>
      <c r="FK224" s="117"/>
      <c r="FL224" s="117"/>
      <c r="FM224" s="117"/>
      <c r="FN224" s="117"/>
      <c r="FO224" s="117"/>
      <c r="FP224" s="117"/>
      <c r="FQ224" s="117"/>
      <c r="FR224" s="117"/>
      <c r="FS224" s="117"/>
      <c r="FT224" s="117"/>
      <c r="FU224" s="117"/>
      <c r="FV224" s="117"/>
      <c r="FW224" s="117"/>
      <c r="FX224" s="117"/>
      <c r="FY224" s="117"/>
      <c r="FZ224" s="117"/>
      <c r="GA224" s="117"/>
      <c r="GB224" s="117"/>
      <c r="GC224" s="117"/>
      <c r="GD224" s="117"/>
      <c r="GE224" s="117"/>
    </row>
    <row r="225" spans="1:187" s="11" customFormat="1" ht="15" hidden="1">
      <c r="A225" s="73" t="s">
        <v>75</v>
      </c>
      <c r="B225" s="51"/>
      <c r="C225" s="53" t="s">
        <v>385</v>
      </c>
      <c r="D225" s="220"/>
      <c r="E225" s="47"/>
      <c r="F225" s="47"/>
      <c r="G225" s="47"/>
      <c r="H225" s="47"/>
      <c r="I225" s="47"/>
      <c r="J225" s="4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117"/>
      <c r="BB225" s="117"/>
      <c r="BC225" s="117"/>
      <c r="BD225" s="117"/>
      <c r="BE225" s="117"/>
      <c r="BF225" s="117"/>
      <c r="BG225" s="117"/>
      <c r="BH225" s="117"/>
      <c r="BI225" s="117"/>
      <c r="BJ225" s="117"/>
      <c r="BK225" s="117"/>
      <c r="BL225" s="117"/>
      <c r="BM225" s="117"/>
      <c r="BN225" s="117"/>
      <c r="BO225" s="117"/>
      <c r="BP225" s="117"/>
      <c r="BQ225" s="117"/>
      <c r="BR225" s="117"/>
      <c r="BS225" s="117"/>
      <c r="BT225" s="117"/>
      <c r="BU225" s="117"/>
      <c r="BV225" s="117"/>
      <c r="BW225" s="117"/>
      <c r="BX225" s="117"/>
      <c r="BY225" s="117"/>
      <c r="BZ225" s="117"/>
      <c r="CA225" s="117"/>
      <c r="CB225" s="117"/>
      <c r="CC225" s="117"/>
      <c r="CD225" s="117"/>
      <c r="CE225" s="117"/>
      <c r="CF225" s="117"/>
      <c r="CG225" s="117"/>
      <c r="CH225" s="117"/>
      <c r="CI225" s="117"/>
      <c r="CJ225" s="117"/>
      <c r="CK225" s="117"/>
      <c r="CL225" s="117"/>
      <c r="CM225" s="117"/>
      <c r="CN225" s="117"/>
      <c r="CO225" s="117"/>
      <c r="CP225" s="117"/>
      <c r="CQ225" s="117"/>
      <c r="CR225" s="117"/>
      <c r="CS225" s="117"/>
      <c r="CT225" s="117"/>
      <c r="CU225" s="117"/>
      <c r="CV225" s="117"/>
      <c r="CW225" s="117"/>
      <c r="CX225" s="117"/>
      <c r="CY225" s="117"/>
      <c r="CZ225" s="117"/>
      <c r="DA225" s="117"/>
      <c r="DB225" s="117"/>
      <c r="DC225" s="117"/>
      <c r="DD225" s="117"/>
      <c r="DE225" s="117"/>
      <c r="DF225" s="117"/>
      <c r="DG225" s="117"/>
      <c r="DH225" s="117"/>
      <c r="DI225" s="117"/>
      <c r="DJ225" s="117"/>
      <c r="DK225" s="117"/>
      <c r="DL225" s="117"/>
      <c r="DM225" s="117"/>
      <c r="DN225" s="117"/>
      <c r="DO225" s="117"/>
      <c r="DP225" s="117"/>
      <c r="DQ225" s="117"/>
      <c r="DR225" s="117"/>
      <c r="DS225" s="117"/>
      <c r="DT225" s="117"/>
      <c r="DU225" s="117"/>
      <c r="DV225" s="117"/>
      <c r="DW225" s="117"/>
      <c r="DX225" s="117"/>
      <c r="DY225" s="117"/>
      <c r="DZ225" s="117"/>
      <c r="EA225" s="117"/>
      <c r="EB225" s="117"/>
      <c r="EC225" s="117"/>
      <c r="ED225" s="117"/>
      <c r="EE225" s="117"/>
      <c r="EF225" s="117"/>
      <c r="EG225" s="117"/>
      <c r="EH225" s="117"/>
      <c r="EI225" s="117"/>
      <c r="EJ225" s="117"/>
      <c r="EK225" s="117"/>
      <c r="EL225" s="117"/>
      <c r="EM225" s="117"/>
      <c r="EN225" s="117"/>
      <c r="EO225" s="117"/>
      <c r="EP225" s="117"/>
      <c r="EQ225" s="117"/>
      <c r="ER225" s="117"/>
      <c r="ES225" s="117"/>
      <c r="ET225" s="117"/>
      <c r="EU225" s="117"/>
      <c r="EV225" s="117"/>
      <c r="EW225" s="117"/>
      <c r="EX225" s="117"/>
      <c r="EY225" s="117"/>
      <c r="EZ225" s="117"/>
      <c r="FA225" s="117"/>
      <c r="FB225" s="117"/>
      <c r="FC225" s="117"/>
      <c r="FD225" s="117"/>
      <c r="FE225" s="117"/>
      <c r="FF225" s="117"/>
      <c r="FG225" s="117"/>
      <c r="FH225" s="117"/>
      <c r="FI225" s="117"/>
      <c r="FJ225" s="117"/>
      <c r="FK225" s="117"/>
      <c r="FL225" s="117"/>
      <c r="FM225" s="117"/>
      <c r="FN225" s="117"/>
      <c r="FO225" s="117"/>
      <c r="FP225" s="117"/>
      <c r="FQ225" s="117"/>
      <c r="FR225" s="117"/>
      <c r="FS225" s="117"/>
      <c r="FT225" s="117"/>
      <c r="FU225" s="117"/>
      <c r="FV225" s="117"/>
      <c r="FW225" s="117"/>
      <c r="FX225" s="117"/>
      <c r="FY225" s="117"/>
      <c r="FZ225" s="117"/>
      <c r="GA225" s="117"/>
      <c r="GB225" s="117"/>
      <c r="GC225" s="117"/>
      <c r="GD225" s="117"/>
      <c r="GE225" s="117"/>
    </row>
    <row r="226" spans="1:187" s="11" customFormat="1" ht="17.25" customHeight="1">
      <c r="A226" s="73" t="s">
        <v>5</v>
      </c>
      <c r="B226" s="51"/>
      <c r="C226" s="53" t="s">
        <v>386</v>
      </c>
      <c r="D226" s="220">
        <f>SUM(E226:J226)</f>
        <v>1642000</v>
      </c>
      <c r="E226" s="47"/>
      <c r="F226" s="47">
        <f>'Областной бюджет'!G326</f>
        <v>1642000</v>
      </c>
      <c r="G226" s="47"/>
      <c r="H226" s="47"/>
      <c r="I226" s="47"/>
      <c r="J226" s="4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7"/>
      <c r="BR226" s="117"/>
      <c r="BS226" s="117"/>
      <c r="BT226" s="117"/>
      <c r="BU226" s="117"/>
      <c r="BV226" s="117"/>
      <c r="BW226" s="117"/>
      <c r="BX226" s="117"/>
      <c r="BY226" s="117"/>
      <c r="BZ226" s="117"/>
      <c r="CA226" s="117"/>
      <c r="CB226" s="117"/>
      <c r="CC226" s="117"/>
      <c r="CD226" s="117"/>
      <c r="CE226" s="117"/>
      <c r="CF226" s="117"/>
      <c r="CG226" s="117"/>
      <c r="CH226" s="117"/>
      <c r="CI226" s="117"/>
      <c r="CJ226" s="117"/>
      <c r="CK226" s="117"/>
      <c r="CL226" s="117"/>
      <c r="CM226" s="117"/>
      <c r="CN226" s="117"/>
      <c r="CO226" s="117"/>
      <c r="CP226" s="117"/>
      <c r="CQ226" s="117"/>
      <c r="CR226" s="117"/>
      <c r="CS226" s="117"/>
      <c r="CT226" s="117"/>
      <c r="CU226" s="117"/>
      <c r="CV226" s="117"/>
      <c r="CW226" s="117"/>
      <c r="CX226" s="117"/>
      <c r="CY226" s="117"/>
      <c r="CZ226" s="117"/>
      <c r="DA226" s="117"/>
      <c r="DB226" s="117"/>
      <c r="DC226" s="117"/>
      <c r="DD226" s="117"/>
      <c r="DE226" s="117"/>
      <c r="DF226" s="117"/>
      <c r="DG226" s="117"/>
      <c r="DH226" s="117"/>
      <c r="DI226" s="117"/>
      <c r="DJ226" s="117"/>
      <c r="DK226" s="117"/>
      <c r="DL226" s="117"/>
      <c r="DM226" s="117"/>
      <c r="DN226" s="117"/>
      <c r="DO226" s="117"/>
      <c r="DP226" s="117"/>
      <c r="DQ226" s="117"/>
      <c r="DR226" s="117"/>
      <c r="DS226" s="117"/>
      <c r="DT226" s="117"/>
      <c r="DU226" s="117"/>
      <c r="DV226" s="117"/>
      <c r="DW226" s="117"/>
      <c r="DX226" s="117"/>
      <c r="DY226" s="117"/>
      <c r="DZ226" s="117"/>
      <c r="EA226" s="117"/>
      <c r="EB226" s="117"/>
      <c r="EC226" s="117"/>
      <c r="ED226" s="117"/>
      <c r="EE226" s="117"/>
      <c r="EF226" s="117"/>
      <c r="EG226" s="117"/>
      <c r="EH226" s="117"/>
      <c r="EI226" s="117"/>
      <c r="EJ226" s="117"/>
      <c r="EK226" s="117"/>
      <c r="EL226" s="117"/>
      <c r="EM226" s="117"/>
      <c r="EN226" s="117"/>
      <c r="EO226" s="117"/>
      <c r="EP226" s="117"/>
      <c r="EQ226" s="117"/>
      <c r="ER226" s="117"/>
      <c r="ES226" s="117"/>
      <c r="ET226" s="117"/>
      <c r="EU226" s="117"/>
      <c r="EV226" s="117"/>
      <c r="EW226" s="117"/>
      <c r="EX226" s="117"/>
      <c r="EY226" s="117"/>
      <c r="EZ226" s="117"/>
      <c r="FA226" s="117"/>
      <c r="FB226" s="117"/>
      <c r="FC226" s="117"/>
      <c r="FD226" s="117"/>
      <c r="FE226" s="117"/>
      <c r="FF226" s="117"/>
      <c r="FG226" s="117"/>
      <c r="FH226" s="117"/>
      <c r="FI226" s="117"/>
      <c r="FJ226" s="117"/>
      <c r="FK226" s="117"/>
      <c r="FL226" s="117"/>
      <c r="FM226" s="117"/>
      <c r="FN226" s="117"/>
      <c r="FO226" s="117"/>
      <c r="FP226" s="117"/>
      <c r="FQ226" s="117"/>
      <c r="FR226" s="117"/>
      <c r="FS226" s="117"/>
      <c r="FT226" s="117"/>
      <c r="FU226" s="117"/>
      <c r="FV226" s="117"/>
      <c r="FW226" s="117"/>
      <c r="FX226" s="117"/>
      <c r="FY226" s="117"/>
      <c r="FZ226" s="117"/>
      <c r="GA226" s="117"/>
      <c r="GB226" s="117"/>
      <c r="GC226" s="117"/>
      <c r="GD226" s="117"/>
      <c r="GE226" s="117"/>
    </row>
    <row r="227" spans="1:187" s="11" customFormat="1" ht="30.75" hidden="1">
      <c r="A227" s="73" t="s">
        <v>62</v>
      </c>
      <c r="B227" s="51"/>
      <c r="C227" s="53" t="s">
        <v>387</v>
      </c>
      <c r="D227" s="220"/>
      <c r="E227" s="47"/>
      <c r="F227" s="47"/>
      <c r="G227" s="47"/>
      <c r="H227" s="47"/>
      <c r="I227" s="47"/>
      <c r="J227" s="4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c r="AY227" s="117"/>
      <c r="AZ227" s="117"/>
      <c r="BA227" s="117"/>
      <c r="BB227" s="117"/>
      <c r="BC227" s="117"/>
      <c r="BD227" s="117"/>
      <c r="BE227" s="117"/>
      <c r="BF227" s="117"/>
      <c r="BG227" s="117"/>
      <c r="BH227" s="117"/>
      <c r="BI227" s="117"/>
      <c r="BJ227" s="117"/>
      <c r="BK227" s="117"/>
      <c r="BL227" s="117"/>
      <c r="BM227" s="117"/>
      <c r="BN227" s="117"/>
      <c r="BO227" s="117"/>
      <c r="BP227" s="117"/>
      <c r="BQ227" s="117"/>
      <c r="BR227" s="117"/>
      <c r="BS227" s="117"/>
      <c r="BT227" s="117"/>
      <c r="BU227" s="117"/>
      <c r="BV227" s="117"/>
      <c r="BW227" s="117"/>
      <c r="BX227" s="117"/>
      <c r="BY227" s="117"/>
      <c r="BZ227" s="117"/>
      <c r="CA227" s="117"/>
      <c r="CB227" s="117"/>
      <c r="CC227" s="117"/>
      <c r="CD227" s="117"/>
      <c r="CE227" s="117"/>
      <c r="CF227" s="117"/>
      <c r="CG227" s="117"/>
      <c r="CH227" s="117"/>
      <c r="CI227" s="117"/>
      <c r="CJ227" s="117"/>
      <c r="CK227" s="117"/>
      <c r="CL227" s="117"/>
      <c r="CM227" s="117"/>
      <c r="CN227" s="117"/>
      <c r="CO227" s="117"/>
      <c r="CP227" s="117"/>
      <c r="CQ227" s="117"/>
      <c r="CR227" s="117"/>
      <c r="CS227" s="117"/>
      <c r="CT227" s="117"/>
      <c r="CU227" s="117"/>
      <c r="CV227" s="117"/>
      <c r="CW227" s="117"/>
      <c r="CX227" s="117"/>
      <c r="CY227" s="117"/>
      <c r="CZ227" s="117"/>
      <c r="DA227" s="117"/>
      <c r="DB227" s="117"/>
      <c r="DC227" s="117"/>
      <c r="DD227" s="117"/>
      <c r="DE227" s="117"/>
      <c r="DF227" s="117"/>
      <c r="DG227" s="117"/>
      <c r="DH227" s="117"/>
      <c r="DI227" s="117"/>
      <c r="DJ227" s="117"/>
      <c r="DK227" s="117"/>
      <c r="DL227" s="117"/>
      <c r="DM227" s="117"/>
      <c r="DN227" s="117"/>
      <c r="DO227" s="117"/>
      <c r="DP227" s="117"/>
      <c r="DQ227" s="117"/>
      <c r="DR227" s="117"/>
      <c r="DS227" s="117"/>
      <c r="DT227" s="117"/>
      <c r="DU227" s="117"/>
      <c r="DV227" s="117"/>
      <c r="DW227" s="117"/>
      <c r="DX227" s="117"/>
      <c r="DY227" s="117"/>
      <c r="DZ227" s="117"/>
      <c r="EA227" s="117"/>
      <c r="EB227" s="117"/>
      <c r="EC227" s="117"/>
      <c r="ED227" s="117"/>
      <c r="EE227" s="117"/>
      <c r="EF227" s="117"/>
      <c r="EG227" s="117"/>
      <c r="EH227" s="117"/>
      <c r="EI227" s="117"/>
      <c r="EJ227" s="117"/>
      <c r="EK227" s="117"/>
      <c r="EL227" s="117"/>
      <c r="EM227" s="117"/>
      <c r="EN227" s="117"/>
      <c r="EO227" s="117"/>
      <c r="EP227" s="117"/>
      <c r="EQ227" s="117"/>
      <c r="ER227" s="117"/>
      <c r="ES227" s="117"/>
      <c r="ET227" s="117"/>
      <c r="EU227" s="117"/>
      <c r="EV227" s="117"/>
      <c r="EW227" s="117"/>
      <c r="EX227" s="117"/>
      <c r="EY227" s="117"/>
      <c r="EZ227" s="117"/>
      <c r="FA227" s="117"/>
      <c r="FB227" s="117"/>
      <c r="FC227" s="117"/>
      <c r="FD227" s="117"/>
      <c r="FE227" s="117"/>
      <c r="FF227" s="117"/>
      <c r="FG227" s="117"/>
      <c r="FH227" s="117"/>
      <c r="FI227" s="117"/>
      <c r="FJ227" s="117"/>
      <c r="FK227" s="117"/>
      <c r="FL227" s="117"/>
      <c r="FM227" s="117"/>
      <c r="FN227" s="117"/>
      <c r="FO227" s="117"/>
      <c r="FP227" s="117"/>
      <c r="FQ227" s="117"/>
      <c r="FR227" s="117"/>
      <c r="FS227" s="117"/>
      <c r="FT227" s="117"/>
      <c r="FU227" s="117"/>
      <c r="FV227" s="117"/>
      <c r="FW227" s="117"/>
      <c r="FX227" s="117"/>
      <c r="FY227" s="117"/>
      <c r="FZ227" s="117"/>
      <c r="GA227" s="117"/>
      <c r="GB227" s="117"/>
      <c r="GC227" s="117"/>
      <c r="GD227" s="117"/>
      <c r="GE227" s="117"/>
    </row>
    <row r="228" spans="1:187" s="11" customFormat="1" ht="15">
      <c r="A228" s="73" t="s">
        <v>63</v>
      </c>
      <c r="B228" s="51"/>
      <c r="C228" s="53" t="s">
        <v>388</v>
      </c>
      <c r="D228" s="220">
        <f>SUM(E228:J228)</f>
        <v>13212</v>
      </c>
      <c r="E228" s="47">
        <f>'Местный бюджет'!G401</f>
        <v>13212</v>
      </c>
      <c r="F228" s="47"/>
      <c r="G228" s="47"/>
      <c r="H228" s="47"/>
      <c r="I228" s="47"/>
      <c r="J228" s="4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7"/>
      <c r="BC228" s="117"/>
      <c r="BD228" s="117"/>
      <c r="BE228" s="117"/>
      <c r="BF228" s="117"/>
      <c r="BG228" s="117"/>
      <c r="BH228" s="117"/>
      <c r="BI228" s="117"/>
      <c r="BJ228" s="117"/>
      <c r="BK228" s="117"/>
      <c r="BL228" s="117"/>
      <c r="BM228" s="117"/>
      <c r="BN228" s="117"/>
      <c r="BO228" s="117"/>
      <c r="BP228" s="117"/>
      <c r="BQ228" s="117"/>
      <c r="BR228" s="117"/>
      <c r="BS228" s="117"/>
      <c r="BT228" s="117"/>
      <c r="BU228" s="117"/>
      <c r="BV228" s="117"/>
      <c r="BW228" s="117"/>
      <c r="BX228" s="117"/>
      <c r="BY228" s="117"/>
      <c r="BZ228" s="117"/>
      <c r="CA228" s="117"/>
      <c r="CB228" s="117"/>
      <c r="CC228" s="117"/>
      <c r="CD228" s="117"/>
      <c r="CE228" s="117"/>
      <c r="CF228" s="117"/>
      <c r="CG228" s="117"/>
      <c r="CH228" s="117"/>
      <c r="CI228" s="117"/>
      <c r="CJ228" s="117"/>
      <c r="CK228" s="117"/>
      <c r="CL228" s="117"/>
      <c r="CM228" s="117"/>
      <c r="CN228" s="117"/>
      <c r="CO228" s="117"/>
      <c r="CP228" s="117"/>
      <c r="CQ228" s="117"/>
      <c r="CR228" s="117"/>
      <c r="CS228" s="117"/>
      <c r="CT228" s="117"/>
      <c r="CU228" s="117"/>
      <c r="CV228" s="117"/>
      <c r="CW228" s="117"/>
      <c r="CX228" s="117"/>
      <c r="CY228" s="117"/>
      <c r="CZ228" s="117"/>
      <c r="DA228" s="117"/>
      <c r="DB228" s="117"/>
      <c r="DC228" s="117"/>
      <c r="DD228" s="117"/>
      <c r="DE228" s="117"/>
      <c r="DF228" s="117"/>
      <c r="DG228" s="117"/>
      <c r="DH228" s="117"/>
      <c r="DI228" s="117"/>
      <c r="DJ228" s="117"/>
      <c r="DK228" s="117"/>
      <c r="DL228" s="117"/>
      <c r="DM228" s="117"/>
      <c r="DN228" s="117"/>
      <c r="DO228" s="117"/>
      <c r="DP228" s="117"/>
      <c r="DQ228" s="117"/>
      <c r="DR228" s="117"/>
      <c r="DS228" s="117"/>
      <c r="DT228" s="117"/>
      <c r="DU228" s="117"/>
      <c r="DV228" s="117"/>
      <c r="DW228" s="117"/>
      <c r="DX228" s="117"/>
      <c r="DY228" s="117"/>
      <c r="DZ228" s="117"/>
      <c r="EA228" s="117"/>
      <c r="EB228" s="117"/>
      <c r="EC228" s="117"/>
      <c r="ED228" s="117"/>
      <c r="EE228" s="117"/>
      <c r="EF228" s="117"/>
      <c r="EG228" s="117"/>
      <c r="EH228" s="117"/>
      <c r="EI228" s="117"/>
      <c r="EJ228" s="117"/>
      <c r="EK228" s="117"/>
      <c r="EL228" s="117"/>
      <c r="EM228" s="117"/>
      <c r="EN228" s="117"/>
      <c r="EO228" s="117"/>
      <c r="EP228" s="117"/>
      <c r="EQ228" s="117"/>
      <c r="ER228" s="117"/>
      <c r="ES228" s="117"/>
      <c r="ET228" s="117"/>
      <c r="EU228" s="117"/>
      <c r="EV228" s="117"/>
      <c r="EW228" s="117"/>
      <c r="EX228" s="117"/>
      <c r="EY228" s="117"/>
      <c r="EZ228" s="117"/>
      <c r="FA228" s="117"/>
      <c r="FB228" s="117"/>
      <c r="FC228" s="117"/>
      <c r="FD228" s="117"/>
      <c r="FE228" s="117"/>
      <c r="FF228" s="117"/>
      <c r="FG228" s="117"/>
      <c r="FH228" s="117"/>
      <c r="FI228" s="117"/>
      <c r="FJ228" s="117"/>
      <c r="FK228" s="117"/>
      <c r="FL228" s="117"/>
      <c r="FM228" s="117"/>
      <c r="FN228" s="117"/>
      <c r="FO228" s="117"/>
      <c r="FP228" s="117"/>
      <c r="FQ228" s="117"/>
      <c r="FR228" s="117"/>
      <c r="FS228" s="117"/>
      <c r="FT228" s="117"/>
      <c r="FU228" s="117"/>
      <c r="FV228" s="117"/>
      <c r="FW228" s="117"/>
      <c r="FX228" s="117"/>
      <c r="FY228" s="117"/>
      <c r="FZ228" s="117"/>
      <c r="GA228" s="117"/>
      <c r="GB228" s="117"/>
      <c r="GC228" s="117"/>
      <c r="GD228" s="117"/>
      <c r="GE228" s="117"/>
    </row>
    <row r="229" spans="1:187" s="11" customFormat="1" ht="15">
      <c r="A229" s="73" t="s">
        <v>64</v>
      </c>
      <c r="B229" s="51"/>
      <c r="C229" s="53" t="s">
        <v>389</v>
      </c>
      <c r="D229" s="220">
        <f>SUM(E229:J229)</f>
        <v>555</v>
      </c>
      <c r="E229" s="47">
        <f>'Местный бюджет'!G406</f>
        <v>0</v>
      </c>
      <c r="F229" s="47"/>
      <c r="G229" s="47"/>
      <c r="H229" s="47">
        <f>Внебюджет!G385</f>
        <v>555</v>
      </c>
      <c r="I229" s="47"/>
      <c r="J229" s="4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c r="AY229" s="117"/>
      <c r="AZ229" s="117"/>
      <c r="BA229" s="117"/>
      <c r="BB229" s="117"/>
      <c r="BC229" s="117"/>
      <c r="BD229" s="117"/>
      <c r="BE229" s="117"/>
      <c r="BF229" s="117"/>
      <c r="BG229" s="117"/>
      <c r="BH229" s="117"/>
      <c r="BI229" s="117"/>
      <c r="BJ229" s="117"/>
      <c r="BK229" s="117"/>
      <c r="BL229" s="117"/>
      <c r="BM229" s="117"/>
      <c r="BN229" s="117"/>
      <c r="BO229" s="117"/>
      <c r="BP229" s="117"/>
      <c r="BQ229" s="117"/>
      <c r="BR229" s="117"/>
      <c r="BS229" s="117"/>
      <c r="BT229" s="117"/>
      <c r="BU229" s="117"/>
      <c r="BV229" s="117"/>
      <c r="BW229" s="117"/>
      <c r="BX229" s="117"/>
      <c r="BY229" s="117"/>
      <c r="BZ229" s="117"/>
      <c r="CA229" s="117"/>
      <c r="CB229" s="117"/>
      <c r="CC229" s="117"/>
      <c r="CD229" s="117"/>
      <c r="CE229" s="117"/>
      <c r="CF229" s="117"/>
      <c r="CG229" s="117"/>
      <c r="CH229" s="117"/>
      <c r="CI229" s="117"/>
      <c r="CJ229" s="117"/>
      <c r="CK229" s="117"/>
      <c r="CL229" s="117"/>
      <c r="CM229" s="117"/>
      <c r="CN229" s="117"/>
      <c r="CO229" s="117"/>
      <c r="CP229" s="117"/>
      <c r="CQ229" s="117"/>
      <c r="CR229" s="117"/>
      <c r="CS229" s="117"/>
      <c r="CT229" s="117"/>
      <c r="CU229" s="117"/>
      <c r="CV229" s="117"/>
      <c r="CW229" s="117"/>
      <c r="CX229" s="117"/>
      <c r="CY229" s="117"/>
      <c r="CZ229" s="117"/>
      <c r="DA229" s="117"/>
      <c r="DB229" s="117"/>
      <c r="DC229" s="117"/>
      <c r="DD229" s="117"/>
      <c r="DE229" s="117"/>
      <c r="DF229" s="117"/>
      <c r="DG229" s="117"/>
      <c r="DH229" s="117"/>
      <c r="DI229" s="117"/>
      <c r="DJ229" s="117"/>
      <c r="DK229" s="117"/>
      <c r="DL229" s="117"/>
      <c r="DM229" s="117"/>
      <c r="DN229" s="117"/>
      <c r="DO229" s="117"/>
      <c r="DP229" s="117"/>
      <c r="DQ229" s="117"/>
      <c r="DR229" s="117"/>
      <c r="DS229" s="117"/>
      <c r="DT229" s="117"/>
      <c r="DU229" s="117"/>
      <c r="DV229" s="117"/>
      <c r="DW229" s="117"/>
      <c r="DX229" s="117"/>
      <c r="DY229" s="117"/>
      <c r="DZ229" s="117"/>
      <c r="EA229" s="117"/>
      <c r="EB229" s="117"/>
      <c r="EC229" s="117"/>
      <c r="ED229" s="117"/>
      <c r="EE229" s="117"/>
      <c r="EF229" s="117"/>
      <c r="EG229" s="117"/>
      <c r="EH229" s="117"/>
      <c r="EI229" s="117"/>
      <c r="EJ229" s="117"/>
      <c r="EK229" s="117"/>
      <c r="EL229" s="117"/>
      <c r="EM229" s="117"/>
      <c r="EN229" s="117"/>
      <c r="EO229" s="117"/>
      <c r="EP229" s="117"/>
      <c r="EQ229" s="117"/>
      <c r="ER229" s="117"/>
      <c r="ES229" s="117"/>
      <c r="ET229" s="117"/>
      <c r="EU229" s="117"/>
      <c r="EV229" s="117"/>
      <c r="EW229" s="117"/>
      <c r="EX229" s="117"/>
      <c r="EY229" s="117"/>
      <c r="EZ229" s="117"/>
      <c r="FA229" s="117"/>
      <c r="FB229" s="117"/>
      <c r="FC229" s="117"/>
      <c r="FD229" s="117"/>
      <c r="FE229" s="117"/>
      <c r="FF229" s="117"/>
      <c r="FG229" s="117"/>
      <c r="FH229" s="117"/>
      <c r="FI229" s="117"/>
      <c r="FJ229" s="117"/>
      <c r="FK229" s="117"/>
      <c r="FL229" s="117"/>
      <c r="FM229" s="117"/>
      <c r="FN229" s="117"/>
      <c r="FO229" s="117"/>
      <c r="FP229" s="117"/>
      <c r="FQ229" s="117"/>
      <c r="FR229" s="117"/>
      <c r="FS229" s="117"/>
      <c r="FT229" s="117"/>
      <c r="FU229" s="117"/>
      <c r="FV229" s="117"/>
      <c r="FW229" s="117"/>
      <c r="FX229" s="117"/>
      <c r="FY229" s="117"/>
      <c r="FZ229" s="117"/>
      <c r="GA229" s="117"/>
      <c r="GB229" s="117"/>
      <c r="GC229" s="117"/>
      <c r="GD229" s="117"/>
      <c r="GE229" s="117"/>
    </row>
    <row r="230" spans="1:187" s="11" customFormat="1" ht="15">
      <c r="A230" s="73" t="s">
        <v>65</v>
      </c>
      <c r="B230" s="51"/>
      <c r="C230" s="53" t="s">
        <v>390</v>
      </c>
      <c r="D230" s="220">
        <f>E230+F230+G230+H230+I230+J230</f>
        <v>10000</v>
      </c>
      <c r="E230" s="47">
        <f>'Местный бюджет'!G411</f>
        <v>0</v>
      </c>
      <c r="F230" s="47"/>
      <c r="G230" s="47"/>
      <c r="H230" s="47">
        <f>Внебюджет!G390</f>
        <v>10000</v>
      </c>
      <c r="I230" s="47"/>
      <c r="J230" s="4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7"/>
      <c r="AY230" s="117"/>
      <c r="AZ230" s="117"/>
      <c r="BA230" s="117"/>
      <c r="BB230" s="117"/>
      <c r="BC230" s="117"/>
      <c r="BD230" s="117"/>
      <c r="BE230" s="117"/>
      <c r="BF230" s="117"/>
      <c r="BG230" s="117"/>
      <c r="BH230" s="117"/>
      <c r="BI230" s="117"/>
      <c r="BJ230" s="117"/>
      <c r="BK230" s="117"/>
      <c r="BL230" s="117"/>
      <c r="BM230" s="117"/>
      <c r="BN230" s="117"/>
      <c r="BO230" s="117"/>
      <c r="BP230" s="117"/>
      <c r="BQ230" s="117"/>
      <c r="BR230" s="117"/>
      <c r="BS230" s="117"/>
      <c r="BT230" s="117"/>
      <c r="BU230" s="117"/>
      <c r="BV230" s="117"/>
      <c r="BW230" s="117"/>
      <c r="BX230" s="117"/>
      <c r="BY230" s="117"/>
      <c r="BZ230" s="117"/>
      <c r="CA230" s="117"/>
      <c r="CB230" s="117"/>
      <c r="CC230" s="117"/>
      <c r="CD230" s="117"/>
      <c r="CE230" s="117"/>
      <c r="CF230" s="117"/>
      <c r="CG230" s="117"/>
      <c r="CH230" s="117"/>
      <c r="CI230" s="117"/>
      <c r="CJ230" s="117"/>
      <c r="CK230" s="117"/>
      <c r="CL230" s="117"/>
      <c r="CM230" s="117"/>
      <c r="CN230" s="117"/>
      <c r="CO230" s="117"/>
      <c r="CP230" s="117"/>
      <c r="CQ230" s="117"/>
      <c r="CR230" s="117"/>
      <c r="CS230" s="117"/>
      <c r="CT230" s="117"/>
      <c r="CU230" s="117"/>
      <c r="CV230" s="117"/>
      <c r="CW230" s="117"/>
      <c r="CX230" s="117"/>
      <c r="CY230" s="117"/>
      <c r="CZ230" s="117"/>
      <c r="DA230" s="117"/>
      <c r="DB230" s="117"/>
      <c r="DC230" s="117"/>
      <c r="DD230" s="117"/>
      <c r="DE230" s="117"/>
      <c r="DF230" s="117"/>
      <c r="DG230" s="117"/>
      <c r="DH230" s="117"/>
      <c r="DI230" s="117"/>
      <c r="DJ230" s="117"/>
      <c r="DK230" s="117"/>
      <c r="DL230" s="117"/>
      <c r="DM230" s="117"/>
      <c r="DN230" s="117"/>
      <c r="DO230" s="117"/>
      <c r="DP230" s="117"/>
      <c r="DQ230" s="117"/>
      <c r="DR230" s="117"/>
      <c r="DS230" s="117"/>
      <c r="DT230" s="117"/>
      <c r="DU230" s="117"/>
      <c r="DV230" s="117"/>
      <c r="DW230" s="117"/>
      <c r="DX230" s="117"/>
      <c r="DY230" s="117"/>
      <c r="DZ230" s="117"/>
      <c r="EA230" s="117"/>
      <c r="EB230" s="117"/>
      <c r="EC230" s="117"/>
      <c r="ED230" s="117"/>
      <c r="EE230" s="117"/>
      <c r="EF230" s="117"/>
      <c r="EG230" s="117"/>
      <c r="EH230" s="117"/>
      <c r="EI230" s="117"/>
      <c r="EJ230" s="117"/>
      <c r="EK230" s="117"/>
      <c r="EL230" s="117"/>
      <c r="EM230" s="117"/>
      <c r="EN230" s="117"/>
      <c r="EO230" s="117"/>
      <c r="EP230" s="117"/>
      <c r="EQ230" s="117"/>
      <c r="ER230" s="117"/>
      <c r="ES230" s="117"/>
      <c r="ET230" s="117"/>
      <c r="EU230" s="117"/>
      <c r="EV230" s="117"/>
      <c r="EW230" s="117"/>
      <c r="EX230" s="117"/>
      <c r="EY230" s="117"/>
      <c r="EZ230" s="117"/>
      <c r="FA230" s="117"/>
      <c r="FB230" s="117"/>
      <c r="FC230" s="117"/>
      <c r="FD230" s="117"/>
      <c r="FE230" s="117"/>
      <c r="FF230" s="117"/>
      <c r="FG230" s="117"/>
      <c r="FH230" s="117"/>
      <c r="FI230" s="117"/>
      <c r="FJ230" s="117"/>
      <c r="FK230" s="117"/>
      <c r="FL230" s="117"/>
      <c r="FM230" s="117"/>
      <c r="FN230" s="117"/>
      <c r="FO230" s="117"/>
      <c r="FP230" s="117"/>
      <c r="FQ230" s="117"/>
      <c r="FR230" s="117"/>
      <c r="FS230" s="117"/>
      <c r="FT230" s="117"/>
      <c r="FU230" s="117"/>
      <c r="FV230" s="117"/>
      <c r="FW230" s="117"/>
      <c r="FX230" s="117"/>
      <c r="FY230" s="117"/>
      <c r="FZ230" s="117"/>
      <c r="GA230" s="117"/>
      <c r="GB230" s="117"/>
      <c r="GC230" s="117"/>
      <c r="GD230" s="117"/>
      <c r="GE230" s="117"/>
    </row>
    <row r="231" spans="1:187" s="11" customFormat="1" ht="15">
      <c r="A231" s="74" t="s">
        <v>11</v>
      </c>
      <c r="B231" s="51"/>
      <c r="C231" s="53" t="s">
        <v>391</v>
      </c>
      <c r="D231" s="220">
        <f>SUM(E231:J231)</f>
        <v>5944.72</v>
      </c>
      <c r="E231" s="47"/>
      <c r="F231" s="47"/>
      <c r="G231" s="47"/>
      <c r="H231" s="47">
        <f>Внебюджет!G395</f>
        <v>5944.72</v>
      </c>
      <c r="I231" s="47"/>
      <c r="J231" s="4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c r="AT231" s="117"/>
      <c r="AU231" s="117"/>
      <c r="AV231" s="117"/>
      <c r="AW231" s="117"/>
      <c r="AX231" s="117"/>
      <c r="AY231" s="117"/>
      <c r="AZ231" s="117"/>
      <c r="BA231" s="117"/>
      <c r="BB231" s="117"/>
      <c r="BC231" s="117"/>
      <c r="BD231" s="117"/>
      <c r="BE231" s="117"/>
      <c r="BF231" s="117"/>
      <c r="BG231" s="117"/>
      <c r="BH231" s="117"/>
      <c r="BI231" s="117"/>
      <c r="BJ231" s="117"/>
      <c r="BK231" s="117"/>
      <c r="BL231" s="117"/>
      <c r="BM231" s="117"/>
      <c r="BN231" s="117"/>
      <c r="BO231" s="117"/>
      <c r="BP231" s="117"/>
      <c r="BQ231" s="117"/>
      <c r="BR231" s="117"/>
      <c r="BS231" s="117"/>
      <c r="BT231" s="117"/>
      <c r="BU231" s="117"/>
      <c r="BV231" s="117"/>
      <c r="BW231" s="117"/>
      <c r="BX231" s="117"/>
      <c r="BY231" s="117"/>
      <c r="BZ231" s="117"/>
      <c r="CA231" s="117"/>
      <c r="CB231" s="117"/>
      <c r="CC231" s="117"/>
      <c r="CD231" s="117"/>
      <c r="CE231" s="117"/>
      <c r="CF231" s="117"/>
      <c r="CG231" s="117"/>
      <c r="CH231" s="117"/>
      <c r="CI231" s="117"/>
      <c r="CJ231" s="117"/>
      <c r="CK231" s="117"/>
      <c r="CL231" s="117"/>
      <c r="CM231" s="117"/>
      <c r="CN231" s="117"/>
      <c r="CO231" s="117"/>
      <c r="CP231" s="117"/>
      <c r="CQ231" s="117"/>
      <c r="CR231" s="117"/>
      <c r="CS231" s="117"/>
      <c r="CT231" s="117"/>
      <c r="CU231" s="117"/>
      <c r="CV231" s="117"/>
      <c r="CW231" s="117"/>
      <c r="CX231" s="117"/>
      <c r="CY231" s="117"/>
      <c r="CZ231" s="117"/>
      <c r="DA231" s="117"/>
      <c r="DB231" s="117"/>
      <c r="DC231" s="117"/>
      <c r="DD231" s="117"/>
      <c r="DE231" s="117"/>
      <c r="DF231" s="117"/>
      <c r="DG231" s="117"/>
      <c r="DH231" s="117"/>
      <c r="DI231" s="117"/>
      <c r="DJ231" s="117"/>
      <c r="DK231" s="117"/>
      <c r="DL231" s="117"/>
      <c r="DM231" s="117"/>
      <c r="DN231" s="117"/>
      <c r="DO231" s="117"/>
      <c r="DP231" s="117"/>
      <c r="DQ231" s="117"/>
      <c r="DR231" s="117"/>
      <c r="DS231" s="117"/>
      <c r="DT231" s="117"/>
      <c r="DU231" s="117"/>
      <c r="DV231" s="117"/>
      <c r="DW231" s="117"/>
      <c r="DX231" s="117"/>
      <c r="DY231" s="117"/>
      <c r="DZ231" s="117"/>
      <c r="EA231" s="117"/>
      <c r="EB231" s="117"/>
      <c r="EC231" s="117"/>
      <c r="ED231" s="117"/>
      <c r="EE231" s="117"/>
      <c r="EF231" s="117"/>
      <c r="EG231" s="117"/>
      <c r="EH231" s="117"/>
      <c r="EI231" s="117"/>
      <c r="EJ231" s="117"/>
      <c r="EK231" s="117"/>
      <c r="EL231" s="117"/>
      <c r="EM231" s="117"/>
      <c r="EN231" s="117"/>
      <c r="EO231" s="117"/>
      <c r="EP231" s="117"/>
      <c r="EQ231" s="117"/>
      <c r="ER231" s="117"/>
      <c r="ES231" s="117"/>
      <c r="ET231" s="117"/>
      <c r="EU231" s="117"/>
      <c r="EV231" s="117"/>
      <c r="EW231" s="117"/>
      <c r="EX231" s="117"/>
      <c r="EY231" s="117"/>
      <c r="EZ231" s="117"/>
      <c r="FA231" s="117"/>
      <c r="FB231" s="117"/>
      <c r="FC231" s="117"/>
      <c r="FD231" s="117"/>
      <c r="FE231" s="117"/>
      <c r="FF231" s="117"/>
      <c r="FG231" s="117"/>
      <c r="FH231" s="117"/>
      <c r="FI231" s="117"/>
      <c r="FJ231" s="117"/>
      <c r="FK231" s="117"/>
      <c r="FL231" s="117"/>
      <c r="FM231" s="117"/>
      <c r="FN231" s="117"/>
      <c r="FO231" s="117"/>
      <c r="FP231" s="117"/>
      <c r="FQ231" s="117"/>
      <c r="FR231" s="117"/>
      <c r="FS231" s="117"/>
      <c r="FT231" s="117"/>
      <c r="FU231" s="117"/>
      <c r="FV231" s="117"/>
      <c r="FW231" s="117"/>
      <c r="FX231" s="117"/>
      <c r="FY231" s="117"/>
      <c r="FZ231" s="117"/>
      <c r="GA231" s="117"/>
      <c r="GB231" s="117"/>
      <c r="GC231" s="117"/>
      <c r="GD231" s="117"/>
      <c r="GE231" s="117"/>
    </row>
    <row r="232" spans="1:187" s="11" customFormat="1" ht="30.75">
      <c r="A232" s="74" t="s">
        <v>12</v>
      </c>
      <c r="B232" s="51"/>
      <c r="C232" s="53" t="s">
        <v>392</v>
      </c>
      <c r="D232" s="220">
        <f>E232+G232+F232+H232+I232+J232</f>
        <v>60000</v>
      </c>
      <c r="E232" s="47">
        <f>'Местный бюджет'!G429</f>
        <v>0</v>
      </c>
      <c r="F232" s="47">
        <f>'Областной бюджет'!G367</f>
        <v>60000</v>
      </c>
      <c r="G232" s="47"/>
      <c r="H232" s="47"/>
      <c r="I232" s="47"/>
      <c r="J232" s="4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7"/>
      <c r="BR232" s="117"/>
      <c r="BS232" s="117"/>
      <c r="BT232" s="117"/>
      <c r="BU232" s="117"/>
      <c r="BV232" s="117"/>
      <c r="BW232" s="117"/>
      <c r="BX232" s="117"/>
      <c r="BY232" s="117"/>
      <c r="BZ232" s="117"/>
      <c r="CA232" s="117"/>
      <c r="CB232" s="117"/>
      <c r="CC232" s="117"/>
      <c r="CD232" s="117"/>
      <c r="CE232" s="117"/>
      <c r="CF232" s="117"/>
      <c r="CG232" s="117"/>
      <c r="CH232" s="117"/>
      <c r="CI232" s="117"/>
      <c r="CJ232" s="117"/>
      <c r="CK232" s="117"/>
      <c r="CL232" s="117"/>
      <c r="CM232" s="117"/>
      <c r="CN232" s="117"/>
      <c r="CO232" s="117"/>
      <c r="CP232" s="117"/>
      <c r="CQ232" s="117"/>
      <c r="CR232" s="117"/>
      <c r="CS232" s="117"/>
      <c r="CT232" s="117"/>
      <c r="CU232" s="117"/>
      <c r="CV232" s="117"/>
      <c r="CW232" s="117"/>
      <c r="CX232" s="117"/>
      <c r="CY232" s="117"/>
      <c r="CZ232" s="117"/>
      <c r="DA232" s="117"/>
      <c r="DB232" s="117"/>
      <c r="DC232" s="117"/>
      <c r="DD232" s="117"/>
      <c r="DE232" s="117"/>
      <c r="DF232" s="117"/>
      <c r="DG232" s="117"/>
      <c r="DH232" s="117"/>
      <c r="DI232" s="117"/>
      <c r="DJ232" s="117"/>
      <c r="DK232" s="117"/>
      <c r="DL232" s="117"/>
      <c r="DM232" s="117"/>
      <c r="DN232" s="117"/>
      <c r="DO232" s="117"/>
      <c r="DP232" s="117"/>
      <c r="DQ232" s="117"/>
      <c r="DR232" s="117"/>
      <c r="DS232" s="117"/>
      <c r="DT232" s="117"/>
      <c r="DU232" s="117"/>
      <c r="DV232" s="117"/>
      <c r="DW232" s="117"/>
      <c r="DX232" s="117"/>
      <c r="DY232" s="117"/>
      <c r="DZ232" s="117"/>
      <c r="EA232" s="117"/>
      <c r="EB232" s="117"/>
      <c r="EC232" s="117"/>
      <c r="ED232" s="117"/>
      <c r="EE232" s="117"/>
      <c r="EF232" s="117"/>
      <c r="EG232" s="117"/>
      <c r="EH232" s="117"/>
      <c r="EI232" s="117"/>
      <c r="EJ232" s="117"/>
      <c r="EK232" s="117"/>
      <c r="EL232" s="117"/>
      <c r="EM232" s="117"/>
      <c r="EN232" s="117"/>
      <c r="EO232" s="117"/>
      <c r="EP232" s="117"/>
      <c r="EQ232" s="117"/>
      <c r="ER232" s="117"/>
      <c r="ES232" s="117"/>
      <c r="ET232" s="117"/>
      <c r="EU232" s="117"/>
      <c r="EV232" s="117"/>
      <c r="EW232" s="117"/>
      <c r="EX232" s="117"/>
      <c r="EY232" s="117"/>
      <c r="EZ232" s="117"/>
      <c r="FA232" s="117"/>
      <c r="FB232" s="117"/>
      <c r="FC232" s="117"/>
      <c r="FD232" s="117"/>
      <c r="FE232" s="117"/>
      <c r="FF232" s="117"/>
      <c r="FG232" s="117"/>
      <c r="FH232" s="117"/>
      <c r="FI232" s="117"/>
      <c r="FJ232" s="117"/>
      <c r="FK232" s="117"/>
      <c r="FL232" s="117"/>
      <c r="FM232" s="117"/>
      <c r="FN232" s="117"/>
      <c r="FO232" s="117"/>
      <c r="FP232" s="117"/>
      <c r="FQ232" s="117"/>
      <c r="FR232" s="117"/>
      <c r="FS232" s="117"/>
      <c r="FT232" s="117"/>
      <c r="FU232" s="117"/>
      <c r="FV232" s="117"/>
      <c r="FW232" s="117"/>
      <c r="FX232" s="117"/>
      <c r="FY232" s="117"/>
      <c r="FZ232" s="117"/>
      <c r="GA232" s="117"/>
      <c r="GB232" s="117"/>
      <c r="GC232" s="117"/>
      <c r="GD232" s="117"/>
      <c r="GE232" s="117"/>
    </row>
    <row r="233" spans="1:187" s="11" customFormat="1" ht="30.75" hidden="1">
      <c r="A233" s="74" t="s">
        <v>258</v>
      </c>
      <c r="B233" s="51"/>
      <c r="C233" s="49" t="s">
        <v>393</v>
      </c>
      <c r="D233" s="220"/>
      <c r="E233" s="52"/>
      <c r="F233" s="52"/>
      <c r="G233" s="52"/>
      <c r="H233" s="52"/>
      <c r="I233" s="52"/>
      <c r="J233" s="4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c r="AT233" s="117"/>
      <c r="AU233" s="117"/>
      <c r="AV233" s="117"/>
      <c r="AW233" s="117"/>
      <c r="AX233" s="117"/>
      <c r="AY233" s="117"/>
      <c r="AZ233" s="117"/>
      <c r="BA233" s="117"/>
      <c r="BB233" s="117"/>
      <c r="BC233" s="117"/>
      <c r="BD233" s="117"/>
      <c r="BE233" s="117"/>
      <c r="BF233" s="117"/>
      <c r="BG233" s="117"/>
      <c r="BH233" s="117"/>
      <c r="BI233" s="117"/>
      <c r="BJ233" s="117"/>
      <c r="BK233" s="117"/>
      <c r="BL233" s="117"/>
      <c r="BM233" s="117"/>
      <c r="BN233" s="117"/>
      <c r="BO233" s="117"/>
      <c r="BP233" s="117"/>
      <c r="BQ233" s="117"/>
      <c r="BR233" s="117"/>
      <c r="BS233" s="117"/>
      <c r="BT233" s="117"/>
      <c r="BU233" s="117"/>
      <c r="BV233" s="117"/>
      <c r="BW233" s="117"/>
      <c r="BX233" s="117"/>
      <c r="BY233" s="117"/>
      <c r="BZ233" s="117"/>
      <c r="CA233" s="117"/>
      <c r="CB233" s="117"/>
      <c r="CC233" s="117"/>
      <c r="CD233" s="117"/>
      <c r="CE233" s="117"/>
      <c r="CF233" s="117"/>
      <c r="CG233" s="117"/>
      <c r="CH233" s="117"/>
      <c r="CI233" s="117"/>
      <c r="CJ233" s="117"/>
      <c r="CK233" s="117"/>
      <c r="CL233" s="117"/>
      <c r="CM233" s="117"/>
      <c r="CN233" s="117"/>
      <c r="CO233" s="117"/>
      <c r="CP233" s="117"/>
      <c r="CQ233" s="117"/>
      <c r="CR233" s="117"/>
      <c r="CS233" s="117"/>
      <c r="CT233" s="117"/>
      <c r="CU233" s="117"/>
      <c r="CV233" s="117"/>
      <c r="CW233" s="117"/>
      <c r="CX233" s="117"/>
      <c r="CY233" s="117"/>
      <c r="CZ233" s="117"/>
      <c r="DA233" s="117"/>
      <c r="DB233" s="117"/>
      <c r="DC233" s="117"/>
      <c r="DD233" s="117"/>
      <c r="DE233" s="117"/>
      <c r="DF233" s="117"/>
      <c r="DG233" s="117"/>
      <c r="DH233" s="117"/>
      <c r="DI233" s="117"/>
      <c r="DJ233" s="117"/>
      <c r="DK233" s="117"/>
      <c r="DL233" s="117"/>
      <c r="DM233" s="117"/>
      <c r="DN233" s="117"/>
      <c r="DO233" s="117"/>
      <c r="DP233" s="117"/>
      <c r="DQ233" s="117"/>
      <c r="DR233" s="117"/>
      <c r="DS233" s="117"/>
      <c r="DT233" s="117"/>
      <c r="DU233" s="117"/>
      <c r="DV233" s="117"/>
      <c r="DW233" s="117"/>
      <c r="DX233" s="117"/>
      <c r="DY233" s="117"/>
      <c r="DZ233" s="117"/>
      <c r="EA233" s="117"/>
      <c r="EB233" s="117"/>
      <c r="EC233" s="117"/>
      <c r="ED233" s="117"/>
      <c r="EE233" s="117"/>
      <c r="EF233" s="117"/>
      <c r="EG233" s="117"/>
      <c r="EH233" s="117"/>
      <c r="EI233" s="117"/>
      <c r="EJ233" s="117"/>
      <c r="EK233" s="117"/>
      <c r="EL233" s="117"/>
      <c r="EM233" s="117"/>
      <c r="EN233" s="117"/>
      <c r="EO233" s="117"/>
      <c r="EP233" s="117"/>
      <c r="EQ233" s="117"/>
      <c r="ER233" s="117"/>
      <c r="ES233" s="117"/>
      <c r="ET233" s="117"/>
      <c r="EU233" s="117"/>
      <c r="EV233" s="117"/>
      <c r="EW233" s="117"/>
      <c r="EX233" s="117"/>
      <c r="EY233" s="117"/>
      <c r="EZ233" s="117"/>
      <c r="FA233" s="117"/>
      <c r="FB233" s="117"/>
      <c r="FC233" s="117"/>
      <c r="FD233" s="117"/>
      <c r="FE233" s="117"/>
      <c r="FF233" s="117"/>
      <c r="FG233" s="117"/>
      <c r="FH233" s="117"/>
      <c r="FI233" s="117"/>
      <c r="FJ233" s="117"/>
      <c r="FK233" s="117"/>
      <c r="FL233" s="117"/>
      <c r="FM233" s="117"/>
      <c r="FN233" s="117"/>
      <c r="FO233" s="117"/>
      <c r="FP233" s="117"/>
      <c r="FQ233" s="117"/>
      <c r="FR233" s="117"/>
      <c r="FS233" s="117"/>
      <c r="FT233" s="117"/>
      <c r="FU233" s="117"/>
      <c r="FV233" s="117"/>
      <c r="FW233" s="117"/>
      <c r="FX233" s="117"/>
      <c r="FY233" s="117"/>
      <c r="FZ233" s="117"/>
      <c r="GA233" s="117"/>
      <c r="GB233" s="117"/>
      <c r="GC233" s="117"/>
      <c r="GD233" s="117"/>
      <c r="GE233" s="117"/>
    </row>
    <row r="234" spans="1:187" s="11" customFormat="1" ht="30.75">
      <c r="A234" s="73" t="s">
        <v>66</v>
      </c>
      <c r="B234" s="51"/>
      <c r="C234" s="49" t="s">
        <v>394</v>
      </c>
      <c r="D234" s="220">
        <f>E234+F234+G234+H234+I234+J234</f>
        <v>30000</v>
      </c>
      <c r="E234" s="52">
        <f>'Местный бюджет'!G457</f>
        <v>0</v>
      </c>
      <c r="F234" s="52">
        <f>'Областной бюджет'!G373</f>
        <v>30000</v>
      </c>
      <c r="G234" s="52"/>
      <c r="H234" s="52"/>
      <c r="I234" s="52"/>
      <c r="J234" s="4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c r="AY234" s="117"/>
      <c r="AZ234" s="117"/>
      <c r="BA234" s="117"/>
      <c r="BB234" s="117"/>
      <c r="BC234" s="117"/>
      <c r="BD234" s="117"/>
      <c r="BE234" s="117"/>
      <c r="BF234" s="117"/>
      <c r="BG234" s="117"/>
      <c r="BH234" s="117"/>
      <c r="BI234" s="117"/>
      <c r="BJ234" s="117"/>
      <c r="BK234" s="117"/>
      <c r="BL234" s="117"/>
      <c r="BM234" s="117"/>
      <c r="BN234" s="117"/>
      <c r="BO234" s="117"/>
      <c r="BP234" s="117"/>
      <c r="BQ234" s="117"/>
      <c r="BR234" s="117"/>
      <c r="BS234" s="117"/>
      <c r="BT234" s="117"/>
      <c r="BU234" s="117"/>
      <c r="BV234" s="117"/>
      <c r="BW234" s="117"/>
      <c r="BX234" s="117"/>
      <c r="BY234" s="117"/>
      <c r="BZ234" s="117"/>
      <c r="CA234" s="117"/>
      <c r="CB234" s="117"/>
      <c r="CC234" s="117"/>
      <c r="CD234" s="117"/>
      <c r="CE234" s="117"/>
      <c r="CF234" s="117"/>
      <c r="CG234" s="117"/>
      <c r="CH234" s="117"/>
      <c r="CI234" s="117"/>
      <c r="CJ234" s="117"/>
      <c r="CK234" s="117"/>
      <c r="CL234" s="117"/>
      <c r="CM234" s="117"/>
      <c r="CN234" s="117"/>
      <c r="CO234" s="117"/>
      <c r="CP234" s="117"/>
      <c r="CQ234" s="117"/>
      <c r="CR234" s="117"/>
      <c r="CS234" s="117"/>
      <c r="CT234" s="117"/>
      <c r="CU234" s="117"/>
      <c r="CV234" s="117"/>
      <c r="CW234" s="117"/>
      <c r="CX234" s="117"/>
      <c r="CY234" s="117"/>
      <c r="CZ234" s="117"/>
      <c r="DA234" s="117"/>
      <c r="DB234" s="117"/>
      <c r="DC234" s="117"/>
      <c r="DD234" s="117"/>
      <c r="DE234" s="117"/>
      <c r="DF234" s="117"/>
      <c r="DG234" s="117"/>
      <c r="DH234" s="117"/>
      <c r="DI234" s="117"/>
      <c r="DJ234" s="117"/>
      <c r="DK234" s="117"/>
      <c r="DL234" s="117"/>
      <c r="DM234" s="117"/>
      <c r="DN234" s="117"/>
      <c r="DO234" s="117"/>
      <c r="DP234" s="117"/>
      <c r="DQ234" s="117"/>
      <c r="DR234" s="117"/>
      <c r="DS234" s="117"/>
      <c r="DT234" s="117"/>
      <c r="DU234" s="117"/>
      <c r="DV234" s="117"/>
      <c r="DW234" s="117"/>
      <c r="DX234" s="117"/>
      <c r="DY234" s="117"/>
      <c r="DZ234" s="117"/>
      <c r="EA234" s="117"/>
      <c r="EB234" s="117"/>
      <c r="EC234" s="117"/>
      <c r="ED234" s="117"/>
      <c r="EE234" s="117"/>
      <c r="EF234" s="117"/>
      <c r="EG234" s="117"/>
      <c r="EH234" s="117"/>
      <c r="EI234" s="117"/>
      <c r="EJ234" s="117"/>
      <c r="EK234" s="117"/>
      <c r="EL234" s="117"/>
      <c r="EM234" s="117"/>
      <c r="EN234" s="117"/>
      <c r="EO234" s="117"/>
      <c r="EP234" s="117"/>
      <c r="EQ234" s="117"/>
      <c r="ER234" s="117"/>
      <c r="ES234" s="117"/>
      <c r="ET234" s="117"/>
      <c r="EU234" s="117"/>
      <c r="EV234" s="117"/>
      <c r="EW234" s="117"/>
      <c r="EX234" s="117"/>
      <c r="EY234" s="117"/>
      <c r="EZ234" s="117"/>
      <c r="FA234" s="117"/>
      <c r="FB234" s="117"/>
      <c r="FC234" s="117"/>
      <c r="FD234" s="117"/>
      <c r="FE234" s="117"/>
      <c r="FF234" s="117"/>
      <c r="FG234" s="117"/>
      <c r="FH234" s="117"/>
      <c r="FI234" s="117"/>
      <c r="FJ234" s="117"/>
      <c r="FK234" s="117"/>
      <c r="FL234" s="117"/>
      <c r="FM234" s="117"/>
      <c r="FN234" s="117"/>
      <c r="FO234" s="117"/>
      <c r="FP234" s="117"/>
      <c r="FQ234" s="117"/>
      <c r="FR234" s="117"/>
      <c r="FS234" s="117"/>
      <c r="FT234" s="117"/>
      <c r="FU234" s="117"/>
      <c r="FV234" s="117"/>
      <c r="FW234" s="117"/>
      <c r="FX234" s="117"/>
      <c r="FY234" s="117"/>
      <c r="FZ234" s="117"/>
      <c r="GA234" s="117"/>
      <c r="GB234" s="117"/>
      <c r="GC234" s="117"/>
      <c r="GD234" s="117"/>
      <c r="GE234" s="117"/>
    </row>
    <row r="235" spans="1:187" s="11" customFormat="1" ht="30.75" hidden="1">
      <c r="A235" s="92" t="s">
        <v>174</v>
      </c>
      <c r="B235" s="81" t="s">
        <v>155</v>
      </c>
      <c r="C235" s="82">
        <v>400</v>
      </c>
      <c r="D235" s="220"/>
      <c r="E235" s="83"/>
      <c r="F235" s="83"/>
      <c r="G235" s="83"/>
      <c r="H235" s="83"/>
      <c r="I235" s="83"/>
      <c r="J235" s="83"/>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c r="AP235" s="117"/>
      <c r="AQ235" s="117"/>
      <c r="AR235" s="117"/>
      <c r="AS235" s="117"/>
      <c r="AT235" s="117"/>
      <c r="AU235" s="117"/>
      <c r="AV235" s="117"/>
      <c r="AW235" s="117"/>
      <c r="AX235" s="117"/>
      <c r="AY235" s="117"/>
      <c r="AZ235" s="117"/>
      <c r="BA235" s="117"/>
      <c r="BB235" s="117"/>
      <c r="BC235" s="117"/>
      <c r="BD235" s="117"/>
      <c r="BE235" s="117"/>
      <c r="BF235" s="117"/>
      <c r="BG235" s="117"/>
      <c r="BH235" s="117"/>
      <c r="BI235" s="117"/>
      <c r="BJ235" s="117"/>
      <c r="BK235" s="117"/>
      <c r="BL235" s="117"/>
      <c r="BM235" s="117"/>
      <c r="BN235" s="117"/>
      <c r="BO235" s="117"/>
      <c r="BP235" s="117"/>
      <c r="BQ235" s="117"/>
      <c r="BR235" s="117"/>
      <c r="BS235" s="117"/>
      <c r="BT235" s="117"/>
      <c r="BU235" s="117"/>
      <c r="BV235" s="117"/>
      <c r="BW235" s="117"/>
      <c r="BX235" s="117"/>
      <c r="BY235" s="117"/>
      <c r="BZ235" s="117"/>
      <c r="CA235" s="117"/>
      <c r="CB235" s="117"/>
      <c r="CC235" s="117"/>
      <c r="CD235" s="117"/>
      <c r="CE235" s="117"/>
      <c r="CF235" s="117"/>
      <c r="CG235" s="117"/>
      <c r="CH235" s="117"/>
      <c r="CI235" s="117"/>
      <c r="CJ235" s="117"/>
      <c r="CK235" s="117"/>
      <c r="CL235" s="117"/>
      <c r="CM235" s="117"/>
      <c r="CN235" s="117"/>
      <c r="CO235" s="117"/>
      <c r="CP235" s="117"/>
      <c r="CQ235" s="117"/>
      <c r="CR235" s="117"/>
      <c r="CS235" s="117"/>
      <c r="CT235" s="117"/>
      <c r="CU235" s="117"/>
      <c r="CV235" s="117"/>
      <c r="CW235" s="117"/>
      <c r="CX235" s="117"/>
      <c r="CY235" s="117"/>
      <c r="CZ235" s="117"/>
      <c r="DA235" s="117"/>
      <c r="DB235" s="117"/>
      <c r="DC235" s="117"/>
      <c r="DD235" s="117"/>
      <c r="DE235" s="117"/>
      <c r="DF235" s="117"/>
      <c r="DG235" s="117"/>
      <c r="DH235" s="117"/>
      <c r="DI235" s="117"/>
      <c r="DJ235" s="117"/>
      <c r="DK235" s="117"/>
      <c r="DL235" s="117"/>
      <c r="DM235" s="117"/>
      <c r="DN235" s="117"/>
      <c r="DO235" s="117"/>
      <c r="DP235" s="117"/>
      <c r="DQ235" s="117"/>
      <c r="DR235" s="117"/>
      <c r="DS235" s="117"/>
      <c r="DT235" s="117"/>
      <c r="DU235" s="117"/>
      <c r="DV235" s="117"/>
      <c r="DW235" s="117"/>
      <c r="DX235" s="117"/>
      <c r="DY235" s="117"/>
      <c r="DZ235" s="117"/>
      <c r="EA235" s="117"/>
      <c r="EB235" s="117"/>
      <c r="EC235" s="117"/>
      <c r="ED235" s="117"/>
      <c r="EE235" s="117"/>
      <c r="EF235" s="117"/>
      <c r="EG235" s="117"/>
      <c r="EH235" s="117"/>
      <c r="EI235" s="117"/>
      <c r="EJ235" s="117"/>
      <c r="EK235" s="117"/>
      <c r="EL235" s="117"/>
      <c r="EM235" s="117"/>
      <c r="EN235" s="117"/>
      <c r="EO235" s="117"/>
      <c r="EP235" s="117"/>
      <c r="EQ235" s="117"/>
      <c r="ER235" s="117"/>
      <c r="ES235" s="117"/>
      <c r="ET235" s="117"/>
      <c r="EU235" s="117"/>
      <c r="EV235" s="117"/>
      <c r="EW235" s="117"/>
      <c r="EX235" s="117"/>
      <c r="EY235" s="117"/>
      <c r="EZ235" s="117"/>
      <c r="FA235" s="117"/>
      <c r="FB235" s="117"/>
      <c r="FC235" s="117"/>
      <c r="FD235" s="117"/>
      <c r="FE235" s="117"/>
      <c r="FF235" s="117"/>
      <c r="FG235" s="117"/>
      <c r="FH235" s="117"/>
      <c r="FI235" s="117"/>
      <c r="FJ235" s="117"/>
      <c r="FK235" s="117"/>
      <c r="FL235" s="117"/>
      <c r="FM235" s="117"/>
      <c r="FN235" s="117"/>
      <c r="FO235" s="117"/>
      <c r="FP235" s="117"/>
      <c r="FQ235" s="117"/>
      <c r="FR235" s="117"/>
      <c r="FS235" s="117"/>
      <c r="FT235" s="117"/>
      <c r="FU235" s="117"/>
      <c r="FV235" s="117"/>
      <c r="FW235" s="117"/>
      <c r="FX235" s="117"/>
      <c r="FY235" s="117"/>
      <c r="FZ235" s="117"/>
      <c r="GA235" s="117"/>
      <c r="GB235" s="117"/>
      <c r="GC235" s="117"/>
      <c r="GD235" s="117"/>
      <c r="GE235" s="117"/>
    </row>
    <row r="236" spans="1:187" s="11" customFormat="1" ht="46.5" hidden="1">
      <c r="A236" s="92" t="s">
        <v>156</v>
      </c>
      <c r="B236" s="85" t="s">
        <v>157</v>
      </c>
      <c r="C236" s="80" t="s">
        <v>395</v>
      </c>
      <c r="D236" s="220"/>
      <c r="E236" s="86"/>
      <c r="F236" s="86"/>
      <c r="G236" s="86"/>
      <c r="H236" s="86"/>
      <c r="I236" s="86"/>
      <c r="J236" s="86"/>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17"/>
      <c r="AX236" s="117"/>
      <c r="AY236" s="117"/>
      <c r="AZ236" s="117"/>
      <c r="BA236" s="117"/>
      <c r="BB236" s="117"/>
      <c r="BC236" s="117"/>
      <c r="BD236" s="117"/>
      <c r="BE236" s="117"/>
      <c r="BF236" s="117"/>
      <c r="BG236" s="117"/>
      <c r="BH236" s="117"/>
      <c r="BI236" s="117"/>
      <c r="BJ236" s="117"/>
      <c r="BK236" s="117"/>
      <c r="BL236" s="117"/>
      <c r="BM236" s="117"/>
      <c r="BN236" s="117"/>
      <c r="BO236" s="117"/>
      <c r="BP236" s="117"/>
      <c r="BQ236" s="117"/>
      <c r="BR236" s="117"/>
      <c r="BS236" s="117"/>
      <c r="BT236" s="117"/>
      <c r="BU236" s="117"/>
      <c r="BV236" s="117"/>
      <c r="BW236" s="117"/>
      <c r="BX236" s="117"/>
      <c r="BY236" s="117"/>
      <c r="BZ236" s="117"/>
      <c r="CA236" s="117"/>
      <c r="CB236" s="117"/>
      <c r="CC236" s="117"/>
      <c r="CD236" s="117"/>
      <c r="CE236" s="117"/>
      <c r="CF236" s="117"/>
      <c r="CG236" s="117"/>
      <c r="CH236" s="117"/>
      <c r="CI236" s="117"/>
      <c r="CJ236" s="117"/>
      <c r="CK236" s="117"/>
      <c r="CL236" s="117"/>
      <c r="CM236" s="117"/>
      <c r="CN236" s="117"/>
      <c r="CO236" s="117"/>
      <c r="CP236" s="117"/>
      <c r="CQ236" s="117"/>
      <c r="CR236" s="117"/>
      <c r="CS236" s="117"/>
      <c r="CT236" s="117"/>
      <c r="CU236" s="117"/>
      <c r="CV236" s="117"/>
      <c r="CW236" s="117"/>
      <c r="CX236" s="117"/>
      <c r="CY236" s="117"/>
      <c r="CZ236" s="117"/>
      <c r="DA236" s="117"/>
      <c r="DB236" s="117"/>
      <c r="DC236" s="117"/>
      <c r="DD236" s="117"/>
      <c r="DE236" s="117"/>
      <c r="DF236" s="117"/>
      <c r="DG236" s="117"/>
      <c r="DH236" s="117"/>
      <c r="DI236" s="117"/>
      <c r="DJ236" s="117"/>
      <c r="DK236" s="117"/>
      <c r="DL236" s="117"/>
      <c r="DM236" s="117"/>
      <c r="DN236" s="117"/>
      <c r="DO236" s="117"/>
      <c r="DP236" s="117"/>
      <c r="DQ236" s="117"/>
      <c r="DR236" s="117"/>
      <c r="DS236" s="117"/>
      <c r="DT236" s="117"/>
      <c r="DU236" s="117"/>
      <c r="DV236" s="117"/>
      <c r="DW236" s="117"/>
      <c r="DX236" s="117"/>
      <c r="DY236" s="117"/>
      <c r="DZ236" s="117"/>
      <c r="EA236" s="117"/>
      <c r="EB236" s="117"/>
      <c r="EC236" s="117"/>
      <c r="ED236" s="117"/>
      <c r="EE236" s="117"/>
      <c r="EF236" s="117"/>
      <c r="EG236" s="117"/>
      <c r="EH236" s="117"/>
      <c r="EI236" s="117"/>
      <c r="EJ236" s="117"/>
      <c r="EK236" s="117"/>
      <c r="EL236" s="117"/>
      <c r="EM236" s="117"/>
      <c r="EN236" s="117"/>
      <c r="EO236" s="117"/>
      <c r="EP236" s="117"/>
      <c r="EQ236" s="117"/>
      <c r="ER236" s="117"/>
      <c r="ES236" s="117"/>
      <c r="ET236" s="117"/>
      <c r="EU236" s="117"/>
      <c r="EV236" s="117"/>
      <c r="EW236" s="117"/>
      <c r="EX236" s="117"/>
      <c r="EY236" s="117"/>
      <c r="EZ236" s="117"/>
      <c r="FA236" s="117"/>
      <c r="FB236" s="117"/>
      <c r="FC236" s="117"/>
      <c r="FD236" s="117"/>
      <c r="FE236" s="117"/>
      <c r="FF236" s="117"/>
      <c r="FG236" s="117"/>
      <c r="FH236" s="117"/>
      <c r="FI236" s="117"/>
      <c r="FJ236" s="117"/>
      <c r="FK236" s="117"/>
      <c r="FL236" s="117"/>
      <c r="FM236" s="117"/>
      <c r="FN236" s="117"/>
      <c r="FO236" s="117"/>
      <c r="FP236" s="117"/>
      <c r="FQ236" s="117"/>
      <c r="FR236" s="117"/>
      <c r="FS236" s="117"/>
      <c r="FT236" s="117"/>
      <c r="FU236" s="117"/>
      <c r="FV236" s="117"/>
      <c r="FW236" s="117"/>
      <c r="FX236" s="117"/>
      <c r="FY236" s="117"/>
      <c r="FZ236" s="117"/>
      <c r="GA236" s="117"/>
      <c r="GB236" s="117"/>
      <c r="GC236" s="117"/>
      <c r="GD236" s="117"/>
      <c r="GE236" s="117"/>
    </row>
    <row r="237" spans="1:187" s="11" customFormat="1" ht="46.5" hidden="1">
      <c r="A237" s="92" t="s">
        <v>158</v>
      </c>
      <c r="B237" s="85" t="s">
        <v>159</v>
      </c>
      <c r="C237" s="80" t="s">
        <v>396</v>
      </c>
      <c r="D237" s="220"/>
      <c r="E237" s="86"/>
      <c r="F237" s="86"/>
      <c r="G237" s="86"/>
      <c r="H237" s="86"/>
      <c r="I237" s="86"/>
      <c r="J237" s="86"/>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T237" s="117"/>
      <c r="AU237" s="117"/>
      <c r="AV237" s="117"/>
      <c r="AW237" s="117"/>
      <c r="AX237" s="117"/>
      <c r="AY237" s="117"/>
      <c r="AZ237" s="117"/>
      <c r="BA237" s="117"/>
      <c r="BB237" s="117"/>
      <c r="BC237" s="117"/>
      <c r="BD237" s="117"/>
      <c r="BE237" s="117"/>
      <c r="BF237" s="117"/>
      <c r="BG237" s="117"/>
      <c r="BH237" s="117"/>
      <c r="BI237" s="117"/>
      <c r="BJ237" s="117"/>
      <c r="BK237" s="117"/>
      <c r="BL237" s="117"/>
      <c r="BM237" s="117"/>
      <c r="BN237" s="117"/>
      <c r="BO237" s="117"/>
      <c r="BP237" s="117"/>
      <c r="BQ237" s="117"/>
      <c r="BR237" s="117"/>
      <c r="BS237" s="117"/>
      <c r="BT237" s="117"/>
      <c r="BU237" s="117"/>
      <c r="BV237" s="117"/>
      <c r="BW237" s="117"/>
      <c r="BX237" s="117"/>
      <c r="BY237" s="117"/>
      <c r="BZ237" s="117"/>
      <c r="CA237" s="117"/>
      <c r="CB237" s="117"/>
      <c r="CC237" s="117"/>
      <c r="CD237" s="117"/>
      <c r="CE237" s="117"/>
      <c r="CF237" s="117"/>
      <c r="CG237" s="117"/>
      <c r="CH237" s="117"/>
      <c r="CI237" s="117"/>
      <c r="CJ237" s="117"/>
      <c r="CK237" s="117"/>
      <c r="CL237" s="117"/>
      <c r="CM237" s="117"/>
      <c r="CN237" s="117"/>
      <c r="CO237" s="117"/>
      <c r="CP237" s="117"/>
      <c r="CQ237" s="117"/>
      <c r="CR237" s="117"/>
      <c r="CS237" s="117"/>
      <c r="CT237" s="117"/>
      <c r="CU237" s="117"/>
      <c r="CV237" s="117"/>
      <c r="CW237" s="117"/>
      <c r="CX237" s="117"/>
      <c r="CY237" s="117"/>
      <c r="CZ237" s="117"/>
      <c r="DA237" s="117"/>
      <c r="DB237" s="117"/>
      <c r="DC237" s="117"/>
      <c r="DD237" s="117"/>
      <c r="DE237" s="117"/>
      <c r="DF237" s="117"/>
      <c r="DG237" s="117"/>
      <c r="DH237" s="117"/>
      <c r="DI237" s="117"/>
      <c r="DJ237" s="117"/>
      <c r="DK237" s="117"/>
      <c r="DL237" s="117"/>
      <c r="DM237" s="117"/>
      <c r="DN237" s="117"/>
      <c r="DO237" s="117"/>
      <c r="DP237" s="117"/>
      <c r="DQ237" s="117"/>
      <c r="DR237" s="117"/>
      <c r="DS237" s="117"/>
      <c r="DT237" s="117"/>
      <c r="DU237" s="117"/>
      <c r="DV237" s="117"/>
      <c r="DW237" s="117"/>
      <c r="DX237" s="117"/>
      <c r="DY237" s="117"/>
      <c r="DZ237" s="117"/>
      <c r="EA237" s="117"/>
      <c r="EB237" s="117"/>
      <c r="EC237" s="117"/>
      <c r="ED237" s="117"/>
      <c r="EE237" s="117"/>
      <c r="EF237" s="117"/>
      <c r="EG237" s="117"/>
      <c r="EH237" s="117"/>
      <c r="EI237" s="117"/>
      <c r="EJ237" s="117"/>
      <c r="EK237" s="117"/>
      <c r="EL237" s="117"/>
      <c r="EM237" s="117"/>
      <c r="EN237" s="117"/>
      <c r="EO237" s="117"/>
      <c r="EP237" s="117"/>
      <c r="EQ237" s="117"/>
      <c r="ER237" s="117"/>
      <c r="ES237" s="117"/>
      <c r="ET237" s="117"/>
      <c r="EU237" s="117"/>
      <c r="EV237" s="117"/>
      <c r="EW237" s="117"/>
      <c r="EX237" s="117"/>
      <c r="EY237" s="117"/>
      <c r="EZ237" s="117"/>
      <c r="FA237" s="117"/>
      <c r="FB237" s="117"/>
      <c r="FC237" s="117"/>
      <c r="FD237" s="117"/>
      <c r="FE237" s="117"/>
      <c r="FF237" s="117"/>
      <c r="FG237" s="117"/>
      <c r="FH237" s="117"/>
      <c r="FI237" s="117"/>
      <c r="FJ237" s="117"/>
      <c r="FK237" s="117"/>
      <c r="FL237" s="117"/>
      <c r="FM237" s="117"/>
      <c r="FN237" s="117"/>
      <c r="FO237" s="117"/>
      <c r="FP237" s="117"/>
      <c r="FQ237" s="117"/>
      <c r="FR237" s="117"/>
      <c r="FS237" s="117"/>
      <c r="FT237" s="117"/>
      <c r="FU237" s="117"/>
      <c r="FV237" s="117"/>
      <c r="FW237" s="117"/>
      <c r="FX237" s="117"/>
      <c r="FY237" s="117"/>
      <c r="FZ237" s="117"/>
      <c r="GA237" s="117"/>
      <c r="GB237" s="117"/>
      <c r="GC237" s="117"/>
      <c r="GD237" s="117"/>
      <c r="GE237" s="117"/>
    </row>
    <row r="238" spans="1:187" s="419" customFormat="1" ht="37.5" customHeight="1">
      <c r="A238" s="412" t="s">
        <v>648</v>
      </c>
      <c r="B238" s="413" t="s">
        <v>647</v>
      </c>
      <c r="C238" s="414" t="s">
        <v>552</v>
      </c>
      <c r="D238" s="388">
        <f>SUM(E238:J238)</f>
        <v>1989900</v>
      </c>
      <c r="E238" s="415">
        <f>'Местный бюджет'!G326+'Местный бюджет'!G327+'Местный бюджет'!G328</f>
        <v>1812000</v>
      </c>
      <c r="F238" s="415"/>
      <c r="G238" s="416"/>
      <c r="H238" s="415">
        <f>Внебюджет!G332</f>
        <v>177900</v>
      </c>
      <c r="I238" s="417"/>
      <c r="J238" s="417"/>
      <c r="K238" s="418"/>
      <c r="L238" s="418"/>
      <c r="M238" s="418"/>
      <c r="N238" s="418"/>
      <c r="O238" s="418"/>
      <c r="P238" s="418"/>
      <c r="Q238" s="418"/>
      <c r="R238" s="418"/>
      <c r="S238" s="418"/>
      <c r="T238" s="418"/>
      <c r="U238" s="418"/>
      <c r="V238" s="418"/>
      <c r="W238" s="418"/>
      <c r="X238" s="418"/>
      <c r="Y238" s="418"/>
      <c r="Z238" s="418"/>
      <c r="AA238" s="418"/>
      <c r="AB238" s="418"/>
      <c r="AC238" s="418"/>
      <c r="AD238" s="418"/>
      <c r="AE238" s="418"/>
      <c r="AF238" s="418"/>
      <c r="AG238" s="418"/>
      <c r="AH238" s="418"/>
      <c r="AI238" s="418"/>
      <c r="AJ238" s="418"/>
      <c r="AK238" s="418"/>
      <c r="AL238" s="418"/>
      <c r="AM238" s="418"/>
      <c r="AN238" s="418"/>
      <c r="AO238" s="418"/>
      <c r="AP238" s="418"/>
      <c r="AQ238" s="418"/>
      <c r="AR238" s="418"/>
      <c r="AS238" s="418"/>
      <c r="AT238" s="418"/>
      <c r="AU238" s="418"/>
      <c r="AV238" s="418"/>
      <c r="AW238" s="418"/>
      <c r="AX238" s="418"/>
      <c r="AY238" s="418"/>
      <c r="AZ238" s="418"/>
      <c r="BA238" s="418"/>
      <c r="BB238" s="418"/>
      <c r="BC238" s="418"/>
      <c r="BD238" s="418"/>
      <c r="BE238" s="418"/>
      <c r="BF238" s="418"/>
      <c r="BG238" s="418"/>
      <c r="BH238" s="418"/>
      <c r="BI238" s="418"/>
      <c r="BJ238" s="418"/>
      <c r="BK238" s="418"/>
      <c r="BL238" s="418"/>
      <c r="BM238" s="418"/>
      <c r="BN238" s="418"/>
      <c r="BO238" s="418"/>
      <c r="BP238" s="418"/>
      <c r="BQ238" s="418"/>
      <c r="BR238" s="418"/>
      <c r="BS238" s="418"/>
      <c r="BT238" s="418"/>
      <c r="BU238" s="418"/>
      <c r="BV238" s="418"/>
      <c r="BW238" s="418"/>
      <c r="BX238" s="418"/>
      <c r="BY238" s="418"/>
      <c r="BZ238" s="418"/>
      <c r="CA238" s="418"/>
      <c r="CB238" s="418"/>
      <c r="CC238" s="418"/>
      <c r="CD238" s="418"/>
      <c r="CE238" s="418"/>
      <c r="CF238" s="418"/>
      <c r="CG238" s="418"/>
      <c r="CH238" s="418"/>
      <c r="CI238" s="418"/>
      <c r="CJ238" s="418"/>
      <c r="CK238" s="418"/>
      <c r="CL238" s="418"/>
      <c r="CM238" s="418"/>
      <c r="CN238" s="418"/>
      <c r="CO238" s="418"/>
      <c r="CP238" s="418"/>
      <c r="CQ238" s="418"/>
      <c r="CR238" s="418"/>
      <c r="CS238" s="418"/>
      <c r="CT238" s="418"/>
      <c r="CU238" s="418"/>
      <c r="CV238" s="418"/>
      <c r="CW238" s="418"/>
      <c r="CX238" s="418"/>
      <c r="CY238" s="418"/>
      <c r="CZ238" s="418"/>
      <c r="DA238" s="418"/>
      <c r="DB238" s="418"/>
      <c r="DC238" s="418"/>
      <c r="DD238" s="418"/>
      <c r="DE238" s="418"/>
      <c r="DF238" s="418"/>
      <c r="DG238" s="418"/>
      <c r="DH238" s="418"/>
      <c r="DI238" s="418"/>
      <c r="DJ238" s="418"/>
      <c r="DK238" s="418"/>
      <c r="DL238" s="418"/>
      <c r="DM238" s="418"/>
      <c r="DN238" s="418"/>
      <c r="DO238" s="418"/>
      <c r="DP238" s="418"/>
      <c r="DQ238" s="418"/>
      <c r="DR238" s="418"/>
      <c r="DS238" s="418"/>
      <c r="DT238" s="418"/>
      <c r="DU238" s="418"/>
      <c r="DV238" s="418"/>
      <c r="DW238" s="418"/>
      <c r="DX238" s="418"/>
      <c r="DY238" s="418"/>
      <c r="DZ238" s="418"/>
      <c r="EA238" s="418"/>
      <c r="EB238" s="418"/>
      <c r="EC238" s="418"/>
      <c r="ED238" s="418"/>
      <c r="EE238" s="418"/>
      <c r="EF238" s="418"/>
      <c r="EG238" s="418"/>
      <c r="EH238" s="418"/>
      <c r="EI238" s="418"/>
      <c r="EJ238" s="418"/>
      <c r="EK238" s="418"/>
      <c r="EL238" s="418"/>
      <c r="EM238" s="418"/>
      <c r="EN238" s="418"/>
      <c r="EO238" s="418"/>
      <c r="EP238" s="418"/>
      <c r="EQ238" s="418"/>
      <c r="ER238" s="418"/>
      <c r="ES238" s="418"/>
      <c r="ET238" s="418"/>
      <c r="EU238" s="418"/>
      <c r="EV238" s="418"/>
      <c r="EW238" s="418"/>
      <c r="EX238" s="418"/>
      <c r="EY238" s="418"/>
      <c r="EZ238" s="418"/>
      <c r="FA238" s="418"/>
      <c r="FB238" s="418"/>
      <c r="FC238" s="418"/>
      <c r="FD238" s="418"/>
      <c r="FE238" s="418"/>
      <c r="FF238" s="418"/>
      <c r="FG238" s="418"/>
      <c r="FH238" s="418"/>
      <c r="FI238" s="418"/>
      <c r="FJ238" s="418"/>
      <c r="FK238" s="418"/>
      <c r="FL238" s="418"/>
      <c r="FM238" s="418"/>
      <c r="FN238" s="418"/>
      <c r="FO238" s="418"/>
      <c r="FP238" s="418"/>
      <c r="FQ238" s="418"/>
      <c r="FR238" s="418"/>
      <c r="FS238" s="418"/>
      <c r="FT238" s="418"/>
      <c r="FU238" s="418"/>
      <c r="FV238" s="418"/>
      <c r="FW238" s="418"/>
      <c r="FX238" s="418"/>
      <c r="FY238" s="418"/>
      <c r="FZ238" s="418"/>
      <c r="GA238" s="418"/>
      <c r="GB238" s="418"/>
      <c r="GC238" s="418"/>
      <c r="GD238" s="418"/>
      <c r="GE238" s="418"/>
    </row>
    <row r="239" spans="1:187" s="11" customFormat="1" ht="15">
      <c r="A239" s="97" t="s">
        <v>160</v>
      </c>
      <c r="B239" s="98" t="s">
        <v>161</v>
      </c>
      <c r="C239" s="99">
        <v>100</v>
      </c>
      <c r="D239" s="219"/>
      <c r="E239" s="99"/>
      <c r="F239" s="99"/>
      <c r="G239" s="99"/>
      <c r="H239" s="99"/>
      <c r="I239" s="99"/>
      <c r="J239" s="99"/>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c r="AY239" s="117"/>
      <c r="AZ239" s="117"/>
      <c r="BA239" s="117"/>
      <c r="BB239" s="117"/>
      <c r="BC239" s="117"/>
      <c r="BD239" s="117"/>
      <c r="BE239" s="117"/>
      <c r="BF239" s="117"/>
      <c r="BG239" s="117"/>
      <c r="BH239" s="117"/>
      <c r="BI239" s="117"/>
      <c r="BJ239" s="117"/>
      <c r="BK239" s="117"/>
      <c r="BL239" s="117"/>
      <c r="BM239" s="117"/>
      <c r="BN239" s="117"/>
      <c r="BO239" s="117"/>
      <c r="BP239" s="117"/>
      <c r="BQ239" s="117"/>
      <c r="BR239" s="117"/>
      <c r="BS239" s="117"/>
      <c r="BT239" s="117"/>
      <c r="BU239" s="117"/>
      <c r="BV239" s="117"/>
      <c r="BW239" s="117"/>
      <c r="BX239" s="117"/>
      <c r="BY239" s="117"/>
      <c r="BZ239" s="117"/>
      <c r="CA239" s="117"/>
      <c r="CB239" s="117"/>
      <c r="CC239" s="117"/>
      <c r="CD239" s="117"/>
      <c r="CE239" s="117"/>
      <c r="CF239" s="117"/>
      <c r="CG239" s="117"/>
      <c r="CH239" s="117"/>
      <c r="CI239" s="117"/>
      <c r="CJ239" s="117"/>
      <c r="CK239" s="117"/>
      <c r="CL239" s="117"/>
      <c r="CM239" s="117"/>
      <c r="CN239" s="117"/>
      <c r="CO239" s="117"/>
      <c r="CP239" s="117"/>
      <c r="CQ239" s="117"/>
      <c r="CR239" s="117"/>
      <c r="CS239" s="117"/>
      <c r="CT239" s="117"/>
      <c r="CU239" s="117"/>
      <c r="CV239" s="117"/>
      <c r="CW239" s="117"/>
      <c r="CX239" s="117"/>
      <c r="CY239" s="117"/>
      <c r="CZ239" s="117"/>
      <c r="DA239" s="117"/>
      <c r="DB239" s="117"/>
      <c r="DC239" s="117"/>
      <c r="DD239" s="117"/>
      <c r="DE239" s="117"/>
      <c r="DF239" s="117"/>
      <c r="DG239" s="117"/>
      <c r="DH239" s="117"/>
      <c r="DI239" s="117"/>
      <c r="DJ239" s="117"/>
      <c r="DK239" s="117"/>
      <c r="DL239" s="117"/>
      <c r="DM239" s="117"/>
      <c r="DN239" s="117"/>
      <c r="DO239" s="117"/>
      <c r="DP239" s="117"/>
      <c r="DQ239" s="117"/>
      <c r="DR239" s="117"/>
      <c r="DS239" s="117"/>
      <c r="DT239" s="117"/>
      <c r="DU239" s="117"/>
      <c r="DV239" s="117"/>
      <c r="DW239" s="117"/>
      <c r="DX239" s="117"/>
      <c r="DY239" s="117"/>
      <c r="DZ239" s="117"/>
      <c r="EA239" s="117"/>
      <c r="EB239" s="117"/>
      <c r="EC239" s="117"/>
      <c r="ED239" s="117"/>
      <c r="EE239" s="117"/>
      <c r="EF239" s="117"/>
      <c r="EG239" s="117"/>
      <c r="EH239" s="117"/>
      <c r="EI239" s="117"/>
      <c r="EJ239" s="117"/>
      <c r="EK239" s="117"/>
      <c r="EL239" s="117"/>
      <c r="EM239" s="117"/>
      <c r="EN239" s="117"/>
      <c r="EO239" s="117"/>
      <c r="EP239" s="117"/>
      <c r="EQ239" s="117"/>
      <c r="ER239" s="117"/>
      <c r="ES239" s="117"/>
      <c r="ET239" s="117"/>
      <c r="EU239" s="117"/>
      <c r="EV239" s="117"/>
      <c r="EW239" s="117"/>
      <c r="EX239" s="117"/>
      <c r="EY239" s="117"/>
      <c r="EZ239" s="117"/>
      <c r="FA239" s="117"/>
      <c r="FB239" s="117"/>
      <c r="FC239" s="117"/>
      <c r="FD239" s="117"/>
      <c r="FE239" s="117"/>
      <c r="FF239" s="117"/>
      <c r="FG239" s="117"/>
      <c r="FH239" s="117"/>
      <c r="FI239" s="117"/>
      <c r="FJ239" s="117"/>
      <c r="FK239" s="117"/>
      <c r="FL239" s="117"/>
      <c r="FM239" s="117"/>
      <c r="FN239" s="117"/>
      <c r="FO239" s="117"/>
      <c r="FP239" s="117"/>
      <c r="FQ239" s="117"/>
      <c r="FR239" s="117"/>
      <c r="FS239" s="117"/>
      <c r="FT239" s="117"/>
      <c r="FU239" s="117"/>
      <c r="FV239" s="117"/>
      <c r="FW239" s="117"/>
      <c r="FX239" s="117"/>
      <c r="FY239" s="117"/>
      <c r="FZ239" s="117"/>
      <c r="GA239" s="117"/>
      <c r="GB239" s="117"/>
      <c r="GC239" s="117"/>
      <c r="GD239" s="117"/>
      <c r="GE239" s="117"/>
    </row>
    <row r="240" spans="1:187" s="11" customFormat="1" ht="30.75" hidden="1">
      <c r="A240" s="92" t="s">
        <v>163</v>
      </c>
      <c r="B240" s="85" t="s">
        <v>162</v>
      </c>
      <c r="C240" s="80" t="s">
        <v>397</v>
      </c>
      <c r="D240" s="220"/>
      <c r="E240" s="86"/>
      <c r="F240" s="86"/>
      <c r="G240" s="86"/>
      <c r="H240" s="86"/>
      <c r="I240" s="86"/>
      <c r="J240" s="86"/>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c r="AP240" s="117"/>
      <c r="AQ240" s="117"/>
      <c r="AR240" s="117"/>
      <c r="AS240" s="117"/>
      <c r="AT240" s="117"/>
      <c r="AU240" s="117"/>
      <c r="AV240" s="117"/>
      <c r="AW240" s="117"/>
      <c r="AX240" s="117"/>
      <c r="AY240" s="117"/>
      <c r="AZ240" s="117"/>
      <c r="BA240" s="117"/>
      <c r="BB240" s="117"/>
      <c r="BC240" s="117"/>
      <c r="BD240" s="117"/>
      <c r="BE240" s="117"/>
      <c r="BF240" s="117"/>
      <c r="BG240" s="117"/>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c r="CZ240" s="117"/>
      <c r="DA240" s="117"/>
      <c r="DB240" s="117"/>
      <c r="DC240" s="117"/>
      <c r="DD240" s="117"/>
      <c r="DE240" s="117"/>
      <c r="DF240" s="117"/>
      <c r="DG240" s="117"/>
      <c r="DH240" s="117"/>
      <c r="DI240" s="117"/>
      <c r="DJ240" s="117"/>
      <c r="DK240" s="117"/>
      <c r="DL240" s="117"/>
      <c r="DM240" s="117"/>
      <c r="DN240" s="117"/>
      <c r="DO240" s="117"/>
      <c r="DP240" s="117"/>
      <c r="DQ240" s="117"/>
      <c r="DR240" s="117"/>
      <c r="DS240" s="117"/>
      <c r="DT240" s="117"/>
      <c r="DU240" s="117"/>
      <c r="DV240" s="117"/>
      <c r="DW240" s="117"/>
      <c r="DX240" s="117"/>
      <c r="DY240" s="117"/>
      <c r="DZ240" s="117"/>
      <c r="EA240" s="117"/>
      <c r="EB240" s="117"/>
      <c r="EC240" s="117"/>
      <c r="ED240" s="117"/>
      <c r="EE240" s="117"/>
      <c r="EF240" s="117"/>
      <c r="EG240" s="117"/>
      <c r="EH240" s="117"/>
      <c r="EI240" s="117"/>
      <c r="EJ240" s="117"/>
      <c r="EK240" s="117"/>
      <c r="EL240" s="117"/>
      <c r="EM240" s="117"/>
      <c r="EN240" s="117"/>
      <c r="EO240" s="117"/>
      <c r="EP240" s="117"/>
      <c r="EQ240" s="117"/>
      <c r="ER240" s="117"/>
      <c r="ES240" s="117"/>
      <c r="ET240" s="117"/>
      <c r="EU240" s="117"/>
      <c r="EV240" s="117"/>
      <c r="EW240" s="117"/>
      <c r="EX240" s="117"/>
      <c r="EY240" s="117"/>
      <c r="EZ240" s="117"/>
      <c r="FA240" s="117"/>
      <c r="FB240" s="117"/>
      <c r="FC240" s="117"/>
      <c r="FD240" s="117"/>
      <c r="FE240" s="117"/>
      <c r="FF240" s="117"/>
      <c r="FG240" s="117"/>
      <c r="FH240" s="117"/>
      <c r="FI240" s="117"/>
      <c r="FJ240" s="117"/>
      <c r="FK240" s="117"/>
      <c r="FL240" s="117"/>
      <c r="FM240" s="117"/>
      <c r="FN240" s="117"/>
      <c r="FO240" s="117"/>
      <c r="FP240" s="117"/>
      <c r="FQ240" s="117"/>
      <c r="FR240" s="117"/>
      <c r="FS240" s="117"/>
      <c r="FT240" s="117"/>
      <c r="FU240" s="117"/>
      <c r="FV240" s="117"/>
      <c r="FW240" s="117"/>
      <c r="FX240" s="117"/>
      <c r="FY240" s="117"/>
      <c r="FZ240" s="117"/>
      <c r="GA240" s="117"/>
      <c r="GB240" s="117"/>
      <c r="GC240" s="117"/>
      <c r="GD240" s="117"/>
      <c r="GE240" s="117"/>
    </row>
    <row r="241" spans="1:187" s="11" customFormat="1" ht="15" hidden="1">
      <c r="A241" s="92" t="s">
        <v>164</v>
      </c>
      <c r="B241" s="85" t="s">
        <v>165</v>
      </c>
      <c r="C241" s="80" t="s">
        <v>397</v>
      </c>
      <c r="D241" s="220"/>
      <c r="E241" s="86"/>
      <c r="F241" s="86"/>
      <c r="G241" s="86"/>
      <c r="H241" s="86"/>
      <c r="I241" s="86"/>
      <c r="J241" s="86"/>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117"/>
      <c r="AU241" s="117"/>
      <c r="AV241" s="117"/>
      <c r="AW241" s="117"/>
      <c r="AX241" s="117"/>
      <c r="AY241" s="117"/>
      <c r="AZ241" s="117"/>
      <c r="BA241" s="117"/>
      <c r="BB241" s="117"/>
      <c r="BC241" s="117"/>
      <c r="BD241" s="117"/>
      <c r="BE241" s="117"/>
      <c r="BF241" s="117"/>
      <c r="BG241" s="117"/>
      <c r="BH241" s="117"/>
      <c r="BI241" s="117"/>
      <c r="BJ241" s="117"/>
      <c r="BK241" s="117"/>
      <c r="BL241" s="117"/>
      <c r="BM241" s="117"/>
      <c r="BN241" s="117"/>
      <c r="BO241" s="117"/>
      <c r="BP241" s="117"/>
      <c r="BQ241" s="117"/>
      <c r="BR241" s="117"/>
      <c r="BS241" s="117"/>
      <c r="BT241" s="117"/>
      <c r="BU241" s="117"/>
      <c r="BV241" s="117"/>
      <c r="BW241" s="117"/>
      <c r="BX241" s="117"/>
      <c r="BY241" s="117"/>
      <c r="BZ241" s="117"/>
      <c r="CA241" s="117"/>
      <c r="CB241" s="117"/>
      <c r="CC241" s="117"/>
      <c r="CD241" s="117"/>
      <c r="CE241" s="117"/>
      <c r="CF241" s="117"/>
      <c r="CG241" s="117"/>
      <c r="CH241" s="117"/>
      <c r="CI241" s="117"/>
      <c r="CJ241" s="117"/>
      <c r="CK241" s="117"/>
      <c r="CL241" s="117"/>
      <c r="CM241" s="117"/>
      <c r="CN241" s="117"/>
      <c r="CO241" s="117"/>
      <c r="CP241" s="117"/>
      <c r="CQ241" s="117"/>
      <c r="CR241" s="117"/>
      <c r="CS241" s="117"/>
      <c r="CT241" s="117"/>
      <c r="CU241" s="117"/>
      <c r="CV241" s="117"/>
      <c r="CW241" s="117"/>
      <c r="CX241" s="117"/>
      <c r="CY241" s="117"/>
      <c r="CZ241" s="117"/>
      <c r="DA241" s="117"/>
      <c r="DB241" s="117"/>
      <c r="DC241" s="117"/>
      <c r="DD241" s="117"/>
      <c r="DE241" s="117"/>
      <c r="DF241" s="117"/>
      <c r="DG241" s="117"/>
      <c r="DH241" s="117"/>
      <c r="DI241" s="117"/>
      <c r="DJ241" s="117"/>
      <c r="DK241" s="117"/>
      <c r="DL241" s="117"/>
      <c r="DM241" s="117"/>
      <c r="DN241" s="117"/>
      <c r="DO241" s="117"/>
      <c r="DP241" s="117"/>
      <c r="DQ241" s="117"/>
      <c r="DR241" s="117"/>
      <c r="DS241" s="117"/>
      <c r="DT241" s="117"/>
      <c r="DU241" s="117"/>
      <c r="DV241" s="117"/>
      <c r="DW241" s="117"/>
      <c r="DX241" s="117"/>
      <c r="DY241" s="117"/>
      <c r="DZ241" s="117"/>
      <c r="EA241" s="117"/>
      <c r="EB241" s="117"/>
      <c r="EC241" s="117"/>
      <c r="ED241" s="117"/>
      <c r="EE241" s="117"/>
      <c r="EF241" s="117"/>
      <c r="EG241" s="117"/>
      <c r="EH241" s="117"/>
      <c r="EI241" s="117"/>
      <c r="EJ241" s="117"/>
      <c r="EK241" s="117"/>
      <c r="EL241" s="117"/>
      <c r="EM241" s="117"/>
      <c r="EN241" s="117"/>
      <c r="EO241" s="117"/>
      <c r="EP241" s="117"/>
      <c r="EQ241" s="117"/>
      <c r="ER241" s="117"/>
      <c r="ES241" s="117"/>
      <c r="ET241" s="117"/>
      <c r="EU241" s="117"/>
      <c r="EV241" s="117"/>
      <c r="EW241" s="117"/>
      <c r="EX241" s="117"/>
      <c r="EY241" s="117"/>
      <c r="EZ241" s="117"/>
      <c r="FA241" s="117"/>
      <c r="FB241" s="117"/>
      <c r="FC241" s="117"/>
      <c r="FD241" s="117"/>
      <c r="FE241" s="117"/>
      <c r="FF241" s="117"/>
      <c r="FG241" s="117"/>
      <c r="FH241" s="117"/>
      <c r="FI241" s="117"/>
      <c r="FJ241" s="117"/>
      <c r="FK241" s="117"/>
      <c r="FL241" s="117"/>
      <c r="FM241" s="117"/>
      <c r="FN241" s="117"/>
      <c r="FO241" s="117"/>
      <c r="FP241" s="117"/>
      <c r="FQ241" s="117"/>
      <c r="FR241" s="117"/>
      <c r="FS241" s="117"/>
      <c r="FT241" s="117"/>
      <c r="FU241" s="117"/>
      <c r="FV241" s="117"/>
      <c r="FW241" s="117"/>
      <c r="FX241" s="117"/>
      <c r="FY241" s="117"/>
      <c r="FZ241" s="117"/>
      <c r="GA241" s="117"/>
      <c r="GB241" s="117"/>
      <c r="GC241" s="117"/>
      <c r="GD241" s="117"/>
      <c r="GE241" s="117"/>
    </row>
    <row r="242" spans="1:187" s="11" customFormat="1" ht="15" hidden="1">
      <c r="A242" s="92" t="s">
        <v>166</v>
      </c>
      <c r="B242" s="85" t="s">
        <v>167</v>
      </c>
      <c r="C242" s="80" t="s">
        <v>397</v>
      </c>
      <c r="D242" s="220"/>
      <c r="E242" s="86"/>
      <c r="F242" s="86"/>
      <c r="G242" s="86"/>
      <c r="H242" s="86"/>
      <c r="I242" s="86"/>
      <c r="J242" s="86"/>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117"/>
      <c r="AU242" s="117"/>
      <c r="AV242" s="117"/>
      <c r="AW242" s="117"/>
      <c r="AX242" s="117"/>
      <c r="AY242" s="117"/>
      <c r="AZ242" s="117"/>
      <c r="BA242" s="117"/>
      <c r="BB242" s="117"/>
      <c r="BC242" s="117"/>
      <c r="BD242" s="117"/>
      <c r="BE242" s="117"/>
      <c r="BF242" s="117"/>
      <c r="BG242" s="117"/>
      <c r="BH242" s="117"/>
      <c r="BI242" s="117"/>
      <c r="BJ242" s="117"/>
      <c r="BK242" s="117"/>
      <c r="BL242" s="117"/>
      <c r="BM242" s="117"/>
      <c r="BN242" s="117"/>
      <c r="BO242" s="117"/>
      <c r="BP242" s="117"/>
      <c r="BQ242" s="117"/>
      <c r="BR242" s="117"/>
      <c r="BS242" s="117"/>
      <c r="BT242" s="117"/>
      <c r="BU242" s="117"/>
      <c r="BV242" s="117"/>
      <c r="BW242" s="117"/>
      <c r="BX242" s="117"/>
      <c r="BY242" s="117"/>
      <c r="BZ242" s="117"/>
      <c r="CA242" s="117"/>
      <c r="CB242" s="117"/>
      <c r="CC242" s="117"/>
      <c r="CD242" s="117"/>
      <c r="CE242" s="117"/>
      <c r="CF242" s="117"/>
      <c r="CG242" s="117"/>
      <c r="CH242" s="117"/>
      <c r="CI242" s="117"/>
      <c r="CJ242" s="117"/>
      <c r="CK242" s="117"/>
      <c r="CL242" s="117"/>
      <c r="CM242" s="117"/>
      <c r="CN242" s="117"/>
      <c r="CO242" s="117"/>
      <c r="CP242" s="117"/>
      <c r="CQ242" s="117"/>
      <c r="CR242" s="117"/>
      <c r="CS242" s="117"/>
      <c r="CT242" s="117"/>
      <c r="CU242" s="117"/>
      <c r="CV242" s="117"/>
      <c r="CW242" s="117"/>
      <c r="CX242" s="117"/>
      <c r="CY242" s="117"/>
      <c r="CZ242" s="117"/>
      <c r="DA242" s="117"/>
      <c r="DB242" s="117"/>
      <c r="DC242" s="117"/>
      <c r="DD242" s="117"/>
      <c r="DE242" s="117"/>
      <c r="DF242" s="117"/>
      <c r="DG242" s="117"/>
      <c r="DH242" s="117"/>
      <c r="DI242" s="117"/>
      <c r="DJ242" s="117"/>
      <c r="DK242" s="117"/>
      <c r="DL242" s="117"/>
      <c r="DM242" s="117"/>
      <c r="DN242" s="117"/>
      <c r="DO242" s="117"/>
      <c r="DP242" s="117"/>
      <c r="DQ242" s="117"/>
      <c r="DR242" s="117"/>
      <c r="DS242" s="117"/>
      <c r="DT242" s="117"/>
      <c r="DU242" s="117"/>
      <c r="DV242" s="117"/>
      <c r="DW242" s="117"/>
      <c r="DX242" s="117"/>
      <c r="DY242" s="117"/>
      <c r="DZ242" s="117"/>
      <c r="EA242" s="117"/>
      <c r="EB242" s="117"/>
      <c r="EC242" s="117"/>
      <c r="ED242" s="117"/>
      <c r="EE242" s="117"/>
      <c r="EF242" s="117"/>
      <c r="EG242" s="117"/>
      <c r="EH242" s="117"/>
      <c r="EI242" s="117"/>
      <c r="EJ242" s="117"/>
      <c r="EK242" s="117"/>
      <c r="EL242" s="117"/>
      <c r="EM242" s="117"/>
      <c r="EN242" s="117"/>
      <c r="EO242" s="117"/>
      <c r="EP242" s="117"/>
      <c r="EQ242" s="117"/>
      <c r="ER242" s="117"/>
      <c r="ES242" s="117"/>
      <c r="ET242" s="117"/>
      <c r="EU242" s="117"/>
      <c r="EV242" s="117"/>
      <c r="EW242" s="117"/>
      <c r="EX242" s="117"/>
      <c r="EY242" s="117"/>
      <c r="EZ242" s="117"/>
      <c r="FA242" s="117"/>
      <c r="FB242" s="117"/>
      <c r="FC242" s="117"/>
      <c r="FD242" s="117"/>
      <c r="FE242" s="117"/>
      <c r="FF242" s="117"/>
      <c r="FG242" s="117"/>
      <c r="FH242" s="117"/>
      <c r="FI242" s="117"/>
      <c r="FJ242" s="117"/>
      <c r="FK242" s="117"/>
      <c r="FL242" s="117"/>
      <c r="FM242" s="117"/>
      <c r="FN242" s="117"/>
      <c r="FO242" s="117"/>
      <c r="FP242" s="117"/>
      <c r="FQ242" s="117"/>
      <c r="FR242" s="117"/>
      <c r="FS242" s="117"/>
      <c r="FT242" s="117"/>
      <c r="FU242" s="117"/>
      <c r="FV242" s="117"/>
      <c r="FW242" s="117"/>
      <c r="FX242" s="117"/>
      <c r="FY242" s="117"/>
      <c r="FZ242" s="117"/>
      <c r="GA242" s="117"/>
      <c r="GB242" s="117"/>
      <c r="GC242" s="117"/>
      <c r="GD242" s="117"/>
      <c r="GE242" s="117"/>
    </row>
    <row r="243" spans="1:187" s="11" customFormat="1" ht="15">
      <c r="A243" s="97" t="s">
        <v>168</v>
      </c>
      <c r="B243" s="98" t="s">
        <v>169</v>
      </c>
      <c r="C243" s="99" t="s">
        <v>35</v>
      </c>
      <c r="D243" s="219"/>
      <c r="E243" s="99"/>
      <c r="F243" s="99"/>
      <c r="G243" s="99"/>
      <c r="H243" s="99"/>
      <c r="I243" s="99"/>
      <c r="J243" s="99"/>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c r="AP243" s="117"/>
      <c r="AQ243" s="117"/>
      <c r="AR243" s="117"/>
      <c r="AS243" s="117"/>
      <c r="AT243" s="117"/>
      <c r="AU243" s="117"/>
      <c r="AV243" s="117"/>
      <c r="AW243" s="117"/>
      <c r="AX243" s="117"/>
      <c r="AY243" s="117"/>
      <c r="AZ243" s="117"/>
      <c r="BA243" s="117"/>
      <c r="BB243" s="117"/>
      <c r="BC243" s="117"/>
      <c r="BD243" s="117"/>
      <c r="BE243" s="117"/>
      <c r="BF243" s="117"/>
      <c r="BG243" s="117"/>
      <c r="BH243" s="117"/>
      <c r="BI243" s="117"/>
      <c r="BJ243" s="117"/>
      <c r="BK243" s="117"/>
      <c r="BL243" s="117"/>
      <c r="BM243" s="117"/>
      <c r="BN243" s="117"/>
      <c r="BO243" s="117"/>
      <c r="BP243" s="117"/>
      <c r="BQ243" s="117"/>
      <c r="BR243" s="117"/>
      <c r="BS243" s="117"/>
      <c r="BT243" s="117"/>
      <c r="BU243" s="117"/>
      <c r="BV243" s="117"/>
      <c r="BW243" s="117"/>
      <c r="BX243" s="117"/>
      <c r="BY243" s="117"/>
      <c r="BZ243" s="117"/>
      <c r="CA243" s="117"/>
      <c r="CB243" s="117"/>
      <c r="CC243" s="117"/>
      <c r="CD243" s="117"/>
      <c r="CE243" s="117"/>
      <c r="CF243" s="117"/>
      <c r="CG243" s="117"/>
      <c r="CH243" s="117"/>
      <c r="CI243" s="117"/>
      <c r="CJ243" s="117"/>
      <c r="CK243" s="117"/>
      <c r="CL243" s="117"/>
      <c r="CM243" s="117"/>
      <c r="CN243" s="117"/>
      <c r="CO243" s="117"/>
      <c r="CP243" s="117"/>
      <c r="CQ243" s="117"/>
      <c r="CR243" s="117"/>
      <c r="CS243" s="117"/>
      <c r="CT243" s="117"/>
      <c r="CU243" s="117"/>
      <c r="CV243" s="117"/>
      <c r="CW243" s="117"/>
      <c r="CX243" s="117"/>
      <c r="CY243" s="117"/>
      <c r="CZ243" s="117"/>
      <c r="DA243" s="117"/>
      <c r="DB243" s="117"/>
      <c r="DC243" s="117"/>
      <c r="DD243" s="117"/>
      <c r="DE243" s="117"/>
      <c r="DF243" s="117"/>
      <c r="DG243" s="117"/>
      <c r="DH243" s="117"/>
      <c r="DI243" s="117"/>
      <c r="DJ243" s="117"/>
      <c r="DK243" s="117"/>
      <c r="DL243" s="117"/>
      <c r="DM243" s="117"/>
      <c r="DN243" s="117"/>
      <c r="DO243" s="117"/>
      <c r="DP243" s="117"/>
      <c r="DQ243" s="117"/>
      <c r="DR243" s="117"/>
      <c r="DS243" s="117"/>
      <c r="DT243" s="117"/>
      <c r="DU243" s="117"/>
      <c r="DV243" s="117"/>
      <c r="DW243" s="117"/>
      <c r="DX243" s="117"/>
      <c r="DY243" s="117"/>
      <c r="DZ243" s="117"/>
      <c r="EA243" s="117"/>
      <c r="EB243" s="117"/>
      <c r="EC243" s="117"/>
      <c r="ED243" s="117"/>
      <c r="EE243" s="117"/>
      <c r="EF243" s="117"/>
      <c r="EG243" s="117"/>
      <c r="EH243" s="117"/>
      <c r="EI243" s="117"/>
      <c r="EJ243" s="117"/>
      <c r="EK243" s="117"/>
      <c r="EL243" s="117"/>
      <c r="EM243" s="117"/>
      <c r="EN243" s="117"/>
      <c r="EO243" s="117"/>
      <c r="EP243" s="117"/>
      <c r="EQ243" s="117"/>
      <c r="ER243" s="117"/>
      <c r="ES243" s="117"/>
      <c r="ET243" s="117"/>
      <c r="EU243" s="117"/>
      <c r="EV243" s="117"/>
      <c r="EW243" s="117"/>
      <c r="EX243" s="117"/>
      <c r="EY243" s="117"/>
      <c r="EZ243" s="117"/>
      <c r="FA243" s="117"/>
      <c r="FB243" s="117"/>
      <c r="FC243" s="117"/>
      <c r="FD243" s="117"/>
      <c r="FE243" s="117"/>
      <c r="FF243" s="117"/>
      <c r="FG243" s="117"/>
      <c r="FH243" s="117"/>
      <c r="FI243" s="117"/>
      <c r="FJ243" s="117"/>
      <c r="FK243" s="117"/>
      <c r="FL243" s="117"/>
      <c r="FM243" s="117"/>
      <c r="FN243" s="117"/>
      <c r="FO243" s="117"/>
      <c r="FP243" s="117"/>
      <c r="FQ243" s="117"/>
      <c r="FR243" s="117"/>
      <c r="FS243" s="117"/>
      <c r="FT243" s="117"/>
      <c r="FU243" s="117"/>
      <c r="FV243" s="117"/>
      <c r="FW243" s="117"/>
      <c r="FX243" s="117"/>
      <c r="FY243" s="117"/>
      <c r="FZ243" s="117"/>
      <c r="GA243" s="117"/>
      <c r="GB243" s="117"/>
      <c r="GC243" s="117"/>
      <c r="GD243" s="117"/>
      <c r="GE243" s="117"/>
    </row>
    <row r="244" spans="1:187" s="11" customFormat="1" ht="30.75" hidden="1">
      <c r="A244" s="92" t="s">
        <v>170</v>
      </c>
      <c r="B244" s="85" t="s">
        <v>171</v>
      </c>
      <c r="C244" s="80">
        <v>610</v>
      </c>
      <c r="D244" s="220"/>
      <c r="E244" s="86"/>
      <c r="F244" s="86"/>
      <c r="G244" s="86"/>
      <c r="H244" s="86"/>
      <c r="I244" s="86"/>
      <c r="J244" s="86"/>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c r="AO244" s="117"/>
      <c r="AP244" s="117"/>
      <c r="AQ244" s="117"/>
      <c r="AR244" s="117"/>
      <c r="AS244" s="117"/>
      <c r="AT244" s="117"/>
      <c r="AU244" s="117"/>
      <c r="AV244" s="117"/>
      <c r="AW244" s="117"/>
      <c r="AX244" s="117"/>
      <c r="AY244" s="117"/>
      <c r="AZ244" s="117"/>
      <c r="BA244" s="117"/>
      <c r="BB244" s="117"/>
      <c r="BC244" s="117"/>
      <c r="BD244" s="117"/>
      <c r="BE244" s="117"/>
      <c r="BF244" s="117"/>
      <c r="BG244" s="117"/>
      <c r="BH244" s="117"/>
      <c r="BI244" s="117"/>
      <c r="BJ244" s="117"/>
      <c r="BK244" s="117"/>
      <c r="BL244" s="117"/>
      <c r="BM244" s="117"/>
      <c r="BN244" s="117"/>
      <c r="BO244" s="117"/>
      <c r="BP244" s="117"/>
      <c r="BQ244" s="117"/>
      <c r="BR244" s="117"/>
      <c r="BS244" s="117"/>
      <c r="BT244" s="117"/>
      <c r="BU244" s="117"/>
      <c r="BV244" s="117"/>
      <c r="BW244" s="117"/>
      <c r="BX244" s="117"/>
      <c r="BY244" s="117"/>
      <c r="BZ244" s="117"/>
      <c r="CA244" s="117"/>
      <c r="CB244" s="117"/>
      <c r="CC244" s="117"/>
      <c r="CD244" s="117"/>
      <c r="CE244" s="117"/>
      <c r="CF244" s="117"/>
      <c r="CG244" s="117"/>
      <c r="CH244" s="117"/>
      <c r="CI244" s="117"/>
      <c r="CJ244" s="117"/>
      <c r="CK244" s="117"/>
      <c r="CL244" s="117"/>
      <c r="CM244" s="117"/>
      <c r="CN244" s="117"/>
      <c r="CO244" s="117"/>
      <c r="CP244" s="117"/>
      <c r="CQ244" s="117"/>
      <c r="CR244" s="117"/>
      <c r="CS244" s="117"/>
      <c r="CT244" s="117"/>
      <c r="CU244" s="117"/>
      <c r="CV244" s="117"/>
      <c r="CW244" s="117"/>
      <c r="CX244" s="117"/>
      <c r="CY244" s="117"/>
      <c r="CZ244" s="117"/>
      <c r="DA244" s="117"/>
      <c r="DB244" s="117"/>
      <c r="DC244" s="117"/>
      <c r="DD244" s="117"/>
      <c r="DE244" s="117"/>
      <c r="DF244" s="117"/>
      <c r="DG244" s="117"/>
      <c r="DH244" s="117"/>
      <c r="DI244" s="117"/>
      <c r="DJ244" s="117"/>
      <c r="DK244" s="117"/>
      <c r="DL244" s="117"/>
      <c r="DM244" s="117"/>
      <c r="DN244" s="117"/>
      <c r="DO244" s="117"/>
      <c r="DP244" s="117"/>
      <c r="DQ244" s="117"/>
      <c r="DR244" s="117"/>
      <c r="DS244" s="117"/>
      <c r="DT244" s="117"/>
      <c r="DU244" s="117"/>
      <c r="DV244" s="117"/>
      <c r="DW244" s="117"/>
      <c r="DX244" s="117"/>
      <c r="DY244" s="117"/>
      <c r="DZ244" s="117"/>
      <c r="EA244" s="117"/>
      <c r="EB244" s="117"/>
      <c r="EC244" s="117"/>
      <c r="ED244" s="117"/>
      <c r="EE244" s="117"/>
      <c r="EF244" s="117"/>
      <c r="EG244" s="117"/>
      <c r="EH244" s="117"/>
      <c r="EI244" s="117"/>
      <c r="EJ244" s="117"/>
      <c r="EK244" s="117"/>
      <c r="EL244" s="117"/>
      <c r="EM244" s="117"/>
      <c r="EN244" s="117"/>
      <c r="EO244" s="117"/>
      <c r="EP244" s="117"/>
      <c r="EQ244" s="117"/>
      <c r="ER244" s="117"/>
      <c r="ES244" s="117"/>
      <c r="ET244" s="117"/>
      <c r="EU244" s="117"/>
      <c r="EV244" s="117"/>
      <c r="EW244" s="117"/>
      <c r="EX244" s="117"/>
      <c r="EY244" s="117"/>
      <c r="EZ244" s="117"/>
      <c r="FA244" s="117"/>
      <c r="FB244" s="117"/>
      <c r="FC244" s="117"/>
      <c r="FD244" s="117"/>
      <c r="FE244" s="117"/>
      <c r="FF244" s="117"/>
      <c r="FG244" s="117"/>
      <c r="FH244" s="117"/>
      <c r="FI244" s="117"/>
      <c r="FJ244" s="117"/>
      <c r="FK244" s="117"/>
      <c r="FL244" s="117"/>
      <c r="FM244" s="117"/>
      <c r="FN244" s="117"/>
      <c r="FO244" s="117"/>
      <c r="FP244" s="117"/>
      <c r="FQ244" s="117"/>
      <c r="FR244" s="117"/>
      <c r="FS244" s="117"/>
      <c r="FT244" s="117"/>
      <c r="FU244" s="117"/>
      <c r="FV244" s="117"/>
      <c r="FW244" s="117"/>
      <c r="FX244" s="117"/>
      <c r="FY244" s="117"/>
      <c r="FZ244" s="117"/>
      <c r="GA244" s="117"/>
      <c r="GB244" s="117"/>
      <c r="GC244" s="117"/>
      <c r="GD244" s="117"/>
      <c r="GE244" s="117"/>
    </row>
    <row r="245" spans="1:187" s="11" customFormat="1" ht="15">
      <c r="A245" s="201"/>
      <c r="B245" s="202"/>
      <c r="C245" s="203"/>
      <c r="D245" s="254"/>
      <c r="E245" s="205"/>
      <c r="F245" s="205"/>
      <c r="G245" s="205"/>
      <c r="H245" s="205"/>
      <c r="I245" s="205"/>
      <c r="J245" s="205"/>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7"/>
      <c r="BC245" s="117"/>
      <c r="BD245" s="117"/>
      <c r="BE245" s="117"/>
      <c r="BF245" s="117"/>
      <c r="BG245" s="117"/>
      <c r="BH245" s="117"/>
      <c r="BI245" s="117"/>
      <c r="BJ245" s="117"/>
      <c r="BK245" s="117"/>
      <c r="BL245" s="117"/>
      <c r="BM245" s="117"/>
      <c r="BN245" s="117"/>
      <c r="BO245" s="117"/>
      <c r="BP245" s="117"/>
      <c r="BQ245" s="117"/>
      <c r="BR245" s="117"/>
      <c r="BS245" s="117"/>
      <c r="BT245" s="117"/>
      <c r="BU245" s="117"/>
      <c r="BV245" s="117"/>
      <c r="BW245" s="117"/>
      <c r="BX245" s="117"/>
      <c r="BY245" s="117"/>
      <c r="BZ245" s="117"/>
      <c r="CA245" s="117"/>
      <c r="CB245" s="117"/>
      <c r="CC245" s="117"/>
      <c r="CD245" s="117"/>
      <c r="CE245" s="117"/>
      <c r="CF245" s="117"/>
      <c r="CG245" s="117"/>
      <c r="CH245" s="117"/>
      <c r="CI245" s="117"/>
      <c r="CJ245" s="117"/>
      <c r="CK245" s="117"/>
      <c r="CL245" s="117"/>
      <c r="CM245" s="117"/>
      <c r="CN245" s="117"/>
      <c r="CO245" s="117"/>
      <c r="CP245" s="117"/>
      <c r="CQ245" s="117"/>
      <c r="CR245" s="117"/>
      <c r="CS245" s="117"/>
      <c r="CT245" s="117"/>
      <c r="CU245" s="117"/>
      <c r="CV245" s="117"/>
      <c r="CW245" s="117"/>
      <c r="CX245" s="117"/>
      <c r="CY245" s="117"/>
      <c r="CZ245" s="117"/>
      <c r="DA245" s="117"/>
      <c r="DB245" s="117"/>
      <c r="DC245" s="117"/>
      <c r="DD245" s="117"/>
      <c r="DE245" s="117"/>
      <c r="DF245" s="117"/>
      <c r="DG245" s="117"/>
      <c r="DH245" s="117"/>
      <c r="DI245" s="117"/>
      <c r="DJ245" s="117"/>
      <c r="DK245" s="117"/>
      <c r="DL245" s="117"/>
      <c r="DM245" s="117"/>
      <c r="DN245" s="117"/>
      <c r="DO245" s="117"/>
      <c r="DP245" s="117"/>
      <c r="DQ245" s="117"/>
      <c r="DR245" s="117"/>
      <c r="DS245" s="117"/>
      <c r="DT245" s="117"/>
      <c r="DU245" s="117"/>
      <c r="DV245" s="117"/>
      <c r="DW245" s="117"/>
      <c r="DX245" s="117"/>
      <c r="DY245" s="117"/>
      <c r="DZ245" s="117"/>
      <c r="EA245" s="117"/>
      <c r="EB245" s="117"/>
      <c r="EC245" s="117"/>
      <c r="ED245" s="117"/>
      <c r="EE245" s="117"/>
      <c r="EF245" s="117"/>
      <c r="EG245" s="117"/>
      <c r="EH245" s="117"/>
      <c r="EI245" s="117"/>
      <c r="EJ245" s="117"/>
      <c r="EK245" s="117"/>
      <c r="EL245" s="117"/>
      <c r="EM245" s="117"/>
      <c r="EN245" s="117"/>
      <c r="EO245" s="117"/>
      <c r="EP245" s="117"/>
      <c r="EQ245" s="117"/>
      <c r="ER245" s="117"/>
      <c r="ES245" s="117"/>
      <c r="ET245" s="117"/>
      <c r="EU245" s="117"/>
      <c r="EV245" s="117"/>
      <c r="EW245" s="117"/>
      <c r="EX245" s="117"/>
      <c r="EY245" s="117"/>
      <c r="EZ245" s="117"/>
      <c r="FA245" s="117"/>
      <c r="FB245" s="117"/>
      <c r="FC245" s="117"/>
      <c r="FD245" s="117"/>
      <c r="FE245" s="117"/>
      <c r="FF245" s="117"/>
      <c r="FG245" s="117"/>
      <c r="FH245" s="117"/>
      <c r="FI245" s="117"/>
      <c r="FJ245" s="117"/>
      <c r="FK245" s="117"/>
      <c r="FL245" s="117"/>
      <c r="FM245" s="117"/>
      <c r="FN245" s="117"/>
      <c r="FO245" s="117"/>
      <c r="FP245" s="117"/>
      <c r="FQ245" s="117"/>
      <c r="FR245" s="117"/>
      <c r="FS245" s="117"/>
      <c r="FT245" s="117"/>
      <c r="FU245" s="117"/>
      <c r="FV245" s="117"/>
      <c r="FW245" s="117"/>
      <c r="FX245" s="117"/>
      <c r="FY245" s="117"/>
      <c r="FZ245" s="117"/>
      <c r="GA245" s="117"/>
      <c r="GB245" s="117"/>
      <c r="GC245" s="117"/>
      <c r="GD245" s="117"/>
      <c r="GE245" s="117"/>
    </row>
    <row r="246" spans="1:187" s="11" customFormat="1" ht="18">
      <c r="A246" s="523" t="s">
        <v>433</v>
      </c>
      <c r="B246" s="523"/>
      <c r="C246" s="523"/>
      <c r="D246" s="523"/>
      <c r="E246" s="523"/>
      <c r="F246" s="523"/>
      <c r="G246" s="523"/>
      <c r="H246" s="523"/>
      <c r="I246" s="523"/>
      <c r="J246" s="523"/>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c r="AP246" s="117"/>
      <c r="AQ246" s="117"/>
      <c r="AR246" s="117"/>
      <c r="AS246" s="117"/>
      <c r="AT246" s="117"/>
      <c r="AU246" s="117"/>
      <c r="AV246" s="117"/>
      <c r="AW246" s="117"/>
      <c r="AX246" s="117"/>
      <c r="AY246" s="117"/>
      <c r="AZ246" s="117"/>
      <c r="BA246" s="117"/>
      <c r="BB246" s="117"/>
      <c r="BC246" s="117"/>
      <c r="BD246" s="117"/>
      <c r="BE246" s="117"/>
      <c r="BF246" s="117"/>
      <c r="BG246" s="117"/>
      <c r="BH246" s="117"/>
      <c r="BI246" s="117"/>
      <c r="BJ246" s="117"/>
      <c r="BK246" s="117"/>
      <c r="BL246" s="117"/>
      <c r="BM246" s="117"/>
      <c r="BN246" s="117"/>
      <c r="BO246" s="117"/>
      <c r="BP246" s="117"/>
      <c r="BQ246" s="117"/>
      <c r="BR246" s="117"/>
      <c r="BS246" s="117"/>
      <c r="BT246" s="117"/>
      <c r="BU246" s="117"/>
      <c r="BV246" s="117"/>
      <c r="BW246" s="117"/>
      <c r="BX246" s="117"/>
      <c r="BY246" s="117"/>
      <c r="BZ246" s="117"/>
      <c r="CA246" s="117"/>
      <c r="CB246" s="117"/>
      <c r="CC246" s="117"/>
      <c r="CD246" s="117"/>
      <c r="CE246" s="117"/>
      <c r="CF246" s="117"/>
      <c r="CG246" s="117"/>
      <c r="CH246" s="117"/>
      <c r="CI246" s="117"/>
      <c r="CJ246" s="117"/>
      <c r="CK246" s="117"/>
      <c r="CL246" s="117"/>
      <c r="CM246" s="117"/>
      <c r="CN246" s="117"/>
      <c r="CO246" s="117"/>
      <c r="CP246" s="117"/>
      <c r="CQ246" s="117"/>
      <c r="CR246" s="117"/>
      <c r="CS246" s="117"/>
      <c r="CT246" s="117"/>
      <c r="CU246" s="117"/>
      <c r="CV246" s="117"/>
      <c r="CW246" s="117"/>
      <c r="CX246" s="117"/>
      <c r="CY246" s="117"/>
      <c r="CZ246" s="117"/>
      <c r="DA246" s="117"/>
      <c r="DB246" s="117"/>
      <c r="DC246" s="117"/>
      <c r="DD246" s="117"/>
      <c r="DE246" s="117"/>
      <c r="DF246" s="117"/>
      <c r="DG246" s="117"/>
      <c r="DH246" s="117"/>
      <c r="DI246" s="117"/>
      <c r="DJ246" s="117"/>
      <c r="DK246" s="117"/>
      <c r="DL246" s="117"/>
      <c r="DM246" s="117"/>
      <c r="DN246" s="117"/>
      <c r="DO246" s="117"/>
      <c r="DP246" s="117"/>
      <c r="DQ246" s="117"/>
      <c r="DR246" s="117"/>
      <c r="DS246" s="117"/>
      <c r="DT246" s="117"/>
      <c r="DU246" s="117"/>
      <c r="DV246" s="117"/>
      <c r="DW246" s="117"/>
      <c r="DX246" s="117"/>
      <c r="DY246" s="117"/>
      <c r="DZ246" s="117"/>
      <c r="EA246" s="117"/>
      <c r="EB246" s="117"/>
      <c r="EC246" s="117"/>
      <c r="ED246" s="117"/>
      <c r="EE246" s="117"/>
      <c r="EF246" s="117"/>
      <c r="EG246" s="117"/>
      <c r="EH246" s="117"/>
      <c r="EI246" s="117"/>
      <c r="EJ246" s="117"/>
      <c r="EK246" s="117"/>
      <c r="EL246" s="117"/>
      <c r="EM246" s="117"/>
      <c r="EN246" s="117"/>
      <c r="EO246" s="117"/>
      <c r="EP246" s="117"/>
      <c r="EQ246" s="117"/>
      <c r="ER246" s="117"/>
      <c r="ES246" s="117"/>
      <c r="ET246" s="117"/>
      <c r="EU246" s="117"/>
      <c r="EV246" s="117"/>
      <c r="EW246" s="117"/>
      <c r="EX246" s="117"/>
      <c r="EY246" s="117"/>
      <c r="EZ246" s="117"/>
      <c r="FA246" s="117"/>
      <c r="FB246" s="117"/>
      <c r="FC246" s="117"/>
      <c r="FD246" s="117"/>
      <c r="FE246" s="117"/>
      <c r="FF246" s="117"/>
      <c r="FG246" s="117"/>
      <c r="FH246" s="117"/>
      <c r="FI246" s="117"/>
      <c r="FJ246" s="117"/>
      <c r="FK246" s="117"/>
      <c r="FL246" s="117"/>
      <c r="FM246" s="117"/>
      <c r="FN246" s="117"/>
      <c r="FO246" s="117"/>
      <c r="FP246" s="117"/>
      <c r="FQ246" s="117"/>
      <c r="FR246" s="117"/>
      <c r="FS246" s="117"/>
      <c r="FT246" s="117"/>
      <c r="FU246" s="117"/>
      <c r="FV246" s="117"/>
      <c r="FW246" s="117"/>
      <c r="FX246" s="117"/>
      <c r="FY246" s="117"/>
      <c r="FZ246" s="117"/>
      <c r="GA246" s="117"/>
      <c r="GB246" s="117"/>
      <c r="GC246" s="117"/>
      <c r="GD246" s="117"/>
      <c r="GE246" s="117"/>
    </row>
    <row r="247" spans="1:187" s="11" customFormat="1" ht="18">
      <c r="A247" s="523" t="s">
        <v>606</v>
      </c>
      <c r="B247" s="523"/>
      <c r="C247" s="523"/>
      <c r="D247" s="523"/>
      <c r="E247" s="523"/>
      <c r="F247" s="523"/>
      <c r="G247" s="523"/>
      <c r="H247" s="523"/>
      <c r="I247" s="523"/>
      <c r="J247" s="523"/>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7"/>
      <c r="AY247" s="117"/>
      <c r="AZ247" s="117"/>
      <c r="BA247" s="117"/>
      <c r="BB247" s="117"/>
      <c r="BC247" s="117"/>
      <c r="BD247" s="117"/>
      <c r="BE247" s="117"/>
      <c r="BF247" s="117"/>
      <c r="BG247" s="117"/>
      <c r="BH247" s="117"/>
      <c r="BI247" s="117"/>
      <c r="BJ247" s="117"/>
      <c r="BK247" s="117"/>
      <c r="BL247" s="117"/>
      <c r="BM247" s="117"/>
      <c r="BN247" s="117"/>
      <c r="BO247" s="117"/>
      <c r="BP247" s="117"/>
      <c r="BQ247" s="117"/>
      <c r="BR247" s="117"/>
      <c r="BS247" s="117"/>
      <c r="BT247" s="117"/>
      <c r="BU247" s="117"/>
      <c r="BV247" s="117"/>
      <c r="BW247" s="117"/>
      <c r="BX247" s="117"/>
      <c r="BY247" s="117"/>
      <c r="BZ247" s="117"/>
      <c r="CA247" s="117"/>
      <c r="CB247" s="117"/>
      <c r="CC247" s="117"/>
      <c r="CD247" s="117"/>
      <c r="CE247" s="117"/>
      <c r="CF247" s="117"/>
      <c r="CG247" s="117"/>
      <c r="CH247" s="117"/>
      <c r="CI247" s="117"/>
      <c r="CJ247" s="117"/>
      <c r="CK247" s="117"/>
      <c r="CL247" s="117"/>
      <c r="CM247" s="117"/>
      <c r="CN247" s="117"/>
      <c r="CO247" s="117"/>
      <c r="CP247" s="117"/>
      <c r="CQ247" s="117"/>
      <c r="CR247" s="117"/>
      <c r="CS247" s="117"/>
      <c r="CT247" s="117"/>
      <c r="CU247" s="117"/>
      <c r="CV247" s="117"/>
      <c r="CW247" s="117"/>
      <c r="CX247" s="117"/>
      <c r="CY247" s="117"/>
      <c r="CZ247" s="117"/>
      <c r="DA247" s="117"/>
      <c r="DB247" s="117"/>
      <c r="DC247" s="117"/>
      <c r="DD247" s="117"/>
      <c r="DE247" s="117"/>
      <c r="DF247" s="117"/>
      <c r="DG247" s="117"/>
      <c r="DH247" s="117"/>
      <c r="DI247" s="117"/>
      <c r="DJ247" s="117"/>
      <c r="DK247" s="117"/>
      <c r="DL247" s="117"/>
      <c r="DM247" s="117"/>
      <c r="DN247" s="117"/>
      <c r="DO247" s="117"/>
      <c r="DP247" s="117"/>
      <c r="DQ247" s="117"/>
      <c r="DR247" s="117"/>
      <c r="DS247" s="117"/>
      <c r="DT247" s="117"/>
      <c r="DU247" s="117"/>
      <c r="DV247" s="117"/>
      <c r="DW247" s="117"/>
      <c r="DX247" s="117"/>
      <c r="DY247" s="117"/>
      <c r="DZ247" s="117"/>
      <c r="EA247" s="117"/>
      <c r="EB247" s="117"/>
      <c r="EC247" s="117"/>
      <c r="ED247" s="117"/>
      <c r="EE247" s="117"/>
      <c r="EF247" s="117"/>
      <c r="EG247" s="117"/>
      <c r="EH247" s="117"/>
      <c r="EI247" s="117"/>
      <c r="EJ247" s="117"/>
      <c r="EK247" s="117"/>
      <c r="EL247" s="117"/>
      <c r="EM247" s="117"/>
      <c r="EN247" s="117"/>
      <c r="EO247" s="117"/>
      <c r="EP247" s="117"/>
      <c r="EQ247" s="117"/>
      <c r="ER247" s="117"/>
      <c r="ES247" s="117"/>
      <c r="ET247" s="117"/>
      <c r="EU247" s="117"/>
      <c r="EV247" s="117"/>
      <c r="EW247" s="117"/>
      <c r="EX247" s="117"/>
      <c r="EY247" s="117"/>
      <c r="EZ247" s="117"/>
      <c r="FA247" s="117"/>
      <c r="FB247" s="117"/>
      <c r="FC247" s="117"/>
      <c r="FD247" s="117"/>
      <c r="FE247" s="117"/>
      <c r="FF247" s="117"/>
      <c r="FG247" s="117"/>
      <c r="FH247" s="117"/>
      <c r="FI247" s="117"/>
      <c r="FJ247" s="117"/>
      <c r="FK247" s="117"/>
      <c r="FL247" s="117"/>
      <c r="FM247" s="117"/>
      <c r="FN247" s="117"/>
      <c r="FO247" s="117"/>
      <c r="FP247" s="117"/>
      <c r="FQ247" s="117"/>
      <c r="FR247" s="117"/>
      <c r="FS247" s="117"/>
      <c r="FT247" s="117"/>
      <c r="FU247" s="117"/>
      <c r="FV247" s="117"/>
      <c r="FW247" s="117"/>
      <c r="FX247" s="117"/>
      <c r="FY247" s="117"/>
      <c r="FZ247" s="117"/>
      <c r="GA247" s="117"/>
      <c r="GB247" s="117"/>
      <c r="GC247" s="117"/>
      <c r="GD247" s="117"/>
      <c r="GE247" s="117"/>
    </row>
    <row r="248" spans="1:187" s="11" customFormat="1" ht="15">
      <c r="A248" s="93"/>
      <c r="B248" s="76"/>
      <c r="C248" s="77"/>
      <c r="D248" s="78"/>
      <c r="E248" s="79"/>
      <c r="F248" s="79"/>
      <c r="G248" s="79"/>
      <c r="H248" s="262" t="str">
        <f>'Пр.1Титульный лист'!L15</f>
        <v>22.12.2023</v>
      </c>
      <c r="I248" s="79"/>
      <c r="J248" s="79"/>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117"/>
      <c r="DG248" s="117"/>
      <c r="DH248" s="117"/>
      <c r="DI248" s="117"/>
      <c r="DJ248" s="117"/>
      <c r="DK248" s="117"/>
      <c r="DL248" s="117"/>
      <c r="DM248" s="117"/>
      <c r="DN248" s="117"/>
      <c r="DO248" s="117"/>
      <c r="DP248" s="117"/>
      <c r="DQ248" s="117"/>
      <c r="DR248" s="117"/>
      <c r="DS248" s="117"/>
      <c r="DT248" s="117"/>
      <c r="DU248" s="117"/>
      <c r="DV248" s="117"/>
      <c r="DW248" s="117"/>
      <c r="DX248" s="117"/>
      <c r="DY248" s="117"/>
      <c r="DZ248" s="117"/>
      <c r="EA248" s="117"/>
      <c r="EB248" s="117"/>
      <c r="EC248" s="117"/>
      <c r="ED248" s="117"/>
      <c r="EE248" s="117"/>
      <c r="EF248" s="117"/>
      <c r="EG248" s="117"/>
      <c r="EH248" s="117"/>
      <c r="EI248" s="117"/>
      <c r="EJ248" s="117"/>
      <c r="EK248" s="117"/>
      <c r="EL248" s="117"/>
      <c r="EM248" s="117"/>
      <c r="EN248" s="117"/>
      <c r="EO248" s="117"/>
      <c r="EP248" s="117"/>
      <c r="EQ248" s="117"/>
      <c r="ER248" s="117"/>
      <c r="ES248" s="117"/>
      <c r="ET248" s="117"/>
      <c r="EU248" s="117"/>
      <c r="EV248" s="117"/>
      <c r="EW248" s="117"/>
      <c r="EX248" s="117"/>
      <c r="EY248" s="117"/>
      <c r="EZ248" s="117"/>
      <c r="FA248" s="117"/>
      <c r="FB248" s="117"/>
      <c r="FC248" s="117"/>
      <c r="FD248" s="117"/>
      <c r="FE248" s="117"/>
      <c r="FF248" s="117"/>
      <c r="FG248" s="117"/>
      <c r="FH248" s="117"/>
      <c r="FI248" s="117"/>
      <c r="FJ248" s="117"/>
      <c r="FK248" s="117"/>
      <c r="FL248" s="117"/>
      <c r="FM248" s="117"/>
      <c r="FN248" s="117"/>
      <c r="FO248" s="117"/>
      <c r="FP248" s="117"/>
      <c r="FQ248" s="117"/>
      <c r="FR248" s="117"/>
      <c r="FS248" s="117"/>
      <c r="FT248" s="117"/>
      <c r="FU248" s="117"/>
      <c r="FV248" s="117"/>
      <c r="FW248" s="117"/>
      <c r="FX248" s="117"/>
      <c r="FY248" s="117"/>
      <c r="FZ248" s="117"/>
      <c r="GA248" s="117"/>
      <c r="GB248" s="117"/>
      <c r="GC248" s="117"/>
      <c r="GD248" s="117"/>
      <c r="GE248" s="117"/>
    </row>
    <row r="249" spans="1:187" s="11" customFormat="1" ht="15">
      <c r="A249" s="524" t="s">
        <v>0</v>
      </c>
      <c r="B249" s="527" t="s">
        <v>7</v>
      </c>
      <c r="C249" s="524" t="s">
        <v>9</v>
      </c>
      <c r="D249" s="541" t="s">
        <v>8</v>
      </c>
      <c r="E249" s="541"/>
      <c r="F249" s="541"/>
      <c r="G249" s="541"/>
      <c r="H249" s="541"/>
      <c r="I249" s="541"/>
      <c r="J249" s="541"/>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c r="CU249" s="117"/>
      <c r="CV249" s="117"/>
      <c r="CW249" s="117"/>
      <c r="CX249" s="117"/>
      <c r="CY249" s="117"/>
      <c r="CZ249" s="117"/>
      <c r="DA249" s="117"/>
      <c r="DB249" s="117"/>
      <c r="DC249" s="117"/>
      <c r="DD249" s="117"/>
      <c r="DE249" s="117"/>
      <c r="DF249" s="117"/>
      <c r="DG249" s="117"/>
      <c r="DH249" s="117"/>
      <c r="DI249" s="117"/>
      <c r="DJ249" s="117"/>
      <c r="DK249" s="117"/>
      <c r="DL249" s="117"/>
      <c r="DM249" s="117"/>
      <c r="DN249" s="117"/>
      <c r="DO249" s="117"/>
      <c r="DP249" s="117"/>
      <c r="DQ249" s="117"/>
      <c r="DR249" s="117"/>
      <c r="DS249" s="117"/>
      <c r="DT249" s="117"/>
      <c r="DU249" s="117"/>
      <c r="DV249" s="117"/>
      <c r="DW249" s="117"/>
      <c r="DX249" s="117"/>
      <c r="DY249" s="117"/>
      <c r="DZ249" s="117"/>
      <c r="EA249" s="117"/>
      <c r="EB249" s="117"/>
      <c r="EC249" s="117"/>
      <c r="ED249" s="117"/>
      <c r="EE249" s="117"/>
      <c r="EF249" s="117"/>
      <c r="EG249" s="117"/>
      <c r="EH249" s="117"/>
      <c r="EI249" s="117"/>
      <c r="EJ249" s="117"/>
      <c r="EK249" s="117"/>
      <c r="EL249" s="117"/>
      <c r="EM249" s="117"/>
      <c r="EN249" s="117"/>
      <c r="EO249" s="117"/>
      <c r="EP249" s="117"/>
      <c r="EQ249" s="117"/>
      <c r="ER249" s="117"/>
      <c r="ES249" s="117"/>
      <c r="ET249" s="117"/>
      <c r="EU249" s="117"/>
      <c r="EV249" s="117"/>
      <c r="EW249" s="117"/>
      <c r="EX249" s="117"/>
      <c r="EY249" s="117"/>
      <c r="EZ249" s="117"/>
      <c r="FA249" s="117"/>
      <c r="FB249" s="117"/>
      <c r="FC249" s="117"/>
      <c r="FD249" s="117"/>
      <c r="FE249" s="117"/>
      <c r="FF249" s="117"/>
      <c r="FG249" s="117"/>
      <c r="FH249" s="117"/>
      <c r="FI249" s="117"/>
      <c r="FJ249" s="117"/>
      <c r="FK249" s="117"/>
      <c r="FL249" s="117"/>
      <c r="FM249" s="117"/>
      <c r="FN249" s="117"/>
      <c r="FO249" s="117"/>
      <c r="FP249" s="117"/>
      <c r="FQ249" s="117"/>
      <c r="FR249" s="117"/>
      <c r="FS249" s="117"/>
      <c r="FT249" s="117"/>
      <c r="FU249" s="117"/>
      <c r="FV249" s="117"/>
      <c r="FW249" s="117"/>
      <c r="FX249" s="117"/>
      <c r="FY249" s="117"/>
      <c r="FZ249" s="117"/>
      <c r="GA249" s="117"/>
      <c r="GB249" s="117"/>
      <c r="GC249" s="117"/>
      <c r="GD249" s="117"/>
      <c r="GE249" s="117"/>
    </row>
    <row r="250" spans="1:187" s="11" customFormat="1" ht="14.25">
      <c r="A250" s="525"/>
      <c r="B250" s="528"/>
      <c r="C250" s="525"/>
      <c r="D250" s="532" t="s">
        <v>662</v>
      </c>
      <c r="E250" s="532"/>
      <c r="F250" s="532"/>
      <c r="G250" s="532"/>
      <c r="H250" s="532"/>
      <c r="I250" s="532"/>
      <c r="J250" s="532"/>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7"/>
      <c r="AY250" s="117"/>
      <c r="AZ250" s="117"/>
      <c r="BA250" s="117"/>
      <c r="BB250" s="117"/>
      <c r="BC250" s="117"/>
      <c r="BD250" s="117"/>
      <c r="BE250" s="117"/>
      <c r="BF250" s="117"/>
      <c r="BG250" s="117"/>
      <c r="BH250" s="117"/>
      <c r="BI250" s="117"/>
      <c r="BJ250" s="117"/>
      <c r="BK250" s="117"/>
      <c r="BL250" s="117"/>
      <c r="BM250" s="117"/>
      <c r="BN250" s="117"/>
      <c r="BO250" s="117"/>
      <c r="BP250" s="117"/>
      <c r="BQ250" s="117"/>
      <c r="BR250" s="117"/>
      <c r="BS250" s="117"/>
      <c r="BT250" s="117"/>
      <c r="BU250" s="117"/>
      <c r="BV250" s="117"/>
      <c r="BW250" s="117"/>
      <c r="BX250" s="117"/>
      <c r="BY250" s="117"/>
      <c r="BZ250" s="117"/>
      <c r="CA250" s="117"/>
      <c r="CB250" s="117"/>
      <c r="CC250" s="117"/>
      <c r="CD250" s="117"/>
      <c r="CE250" s="117"/>
      <c r="CF250" s="117"/>
      <c r="CG250" s="117"/>
      <c r="CH250" s="117"/>
      <c r="CI250" s="117"/>
      <c r="CJ250" s="117"/>
      <c r="CK250" s="117"/>
      <c r="CL250" s="117"/>
      <c r="CM250" s="117"/>
      <c r="CN250" s="117"/>
      <c r="CO250" s="117"/>
      <c r="CP250" s="117"/>
      <c r="CQ250" s="117"/>
      <c r="CR250" s="117"/>
      <c r="CS250" s="117"/>
      <c r="CT250" s="117"/>
      <c r="CU250" s="117"/>
      <c r="CV250" s="117"/>
      <c r="CW250" s="117"/>
      <c r="CX250" s="117"/>
      <c r="CY250" s="117"/>
      <c r="CZ250" s="117"/>
      <c r="DA250" s="117"/>
      <c r="DB250" s="117"/>
      <c r="DC250" s="117"/>
      <c r="DD250" s="117"/>
      <c r="DE250" s="117"/>
      <c r="DF250" s="117"/>
      <c r="DG250" s="117"/>
      <c r="DH250" s="117"/>
      <c r="DI250" s="117"/>
      <c r="DJ250" s="117"/>
      <c r="DK250" s="117"/>
      <c r="DL250" s="117"/>
      <c r="DM250" s="117"/>
      <c r="DN250" s="117"/>
      <c r="DO250" s="117"/>
      <c r="DP250" s="117"/>
      <c r="DQ250" s="117"/>
      <c r="DR250" s="117"/>
      <c r="DS250" s="117"/>
      <c r="DT250" s="117"/>
      <c r="DU250" s="117"/>
      <c r="DV250" s="117"/>
      <c r="DW250" s="117"/>
      <c r="DX250" s="117"/>
      <c r="DY250" s="117"/>
      <c r="DZ250" s="117"/>
      <c r="EA250" s="117"/>
      <c r="EB250" s="117"/>
      <c r="EC250" s="117"/>
      <c r="ED250" s="117"/>
      <c r="EE250" s="117"/>
      <c r="EF250" s="117"/>
      <c r="EG250" s="117"/>
      <c r="EH250" s="117"/>
      <c r="EI250" s="117"/>
      <c r="EJ250" s="117"/>
      <c r="EK250" s="117"/>
      <c r="EL250" s="117"/>
      <c r="EM250" s="117"/>
      <c r="EN250" s="117"/>
      <c r="EO250" s="117"/>
      <c r="EP250" s="117"/>
      <c r="EQ250" s="117"/>
      <c r="ER250" s="117"/>
      <c r="ES250" s="117"/>
      <c r="ET250" s="117"/>
      <c r="EU250" s="117"/>
      <c r="EV250" s="117"/>
      <c r="EW250" s="117"/>
      <c r="EX250" s="117"/>
      <c r="EY250" s="117"/>
      <c r="EZ250" s="117"/>
      <c r="FA250" s="117"/>
      <c r="FB250" s="117"/>
      <c r="FC250" s="117"/>
      <c r="FD250" s="117"/>
      <c r="FE250" s="117"/>
      <c r="FF250" s="117"/>
      <c r="FG250" s="117"/>
      <c r="FH250" s="117"/>
      <c r="FI250" s="117"/>
      <c r="FJ250" s="117"/>
      <c r="FK250" s="117"/>
      <c r="FL250" s="117"/>
      <c r="FM250" s="117"/>
      <c r="FN250" s="117"/>
      <c r="FO250" s="117"/>
      <c r="FP250" s="117"/>
      <c r="FQ250" s="117"/>
      <c r="FR250" s="117"/>
      <c r="FS250" s="117"/>
      <c r="FT250" s="117"/>
      <c r="FU250" s="117"/>
      <c r="FV250" s="117"/>
      <c r="FW250" s="117"/>
      <c r="FX250" s="117"/>
      <c r="FY250" s="117"/>
      <c r="FZ250" s="117"/>
      <c r="GA250" s="117"/>
      <c r="GB250" s="117"/>
      <c r="GC250" s="117"/>
      <c r="GD250" s="117"/>
      <c r="GE250" s="117"/>
    </row>
    <row r="251" spans="1:187" s="11" customFormat="1" ht="3" customHeight="1">
      <c r="A251" s="525"/>
      <c r="B251" s="528"/>
      <c r="C251" s="525"/>
      <c r="D251" s="532"/>
      <c r="E251" s="532"/>
      <c r="F251" s="532"/>
      <c r="G251" s="532"/>
      <c r="H251" s="532"/>
      <c r="I251" s="532"/>
      <c r="J251" s="532"/>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c r="DF251" s="117"/>
      <c r="DG251" s="117"/>
      <c r="DH251" s="117"/>
      <c r="DI251" s="117"/>
      <c r="DJ251" s="117"/>
      <c r="DK251" s="117"/>
      <c r="DL251" s="117"/>
      <c r="DM251" s="117"/>
      <c r="DN251" s="117"/>
      <c r="DO251" s="117"/>
      <c r="DP251" s="117"/>
      <c r="DQ251" s="117"/>
      <c r="DR251" s="117"/>
      <c r="DS251" s="117"/>
      <c r="DT251" s="117"/>
      <c r="DU251" s="117"/>
      <c r="DV251" s="117"/>
      <c r="DW251" s="117"/>
      <c r="DX251" s="117"/>
      <c r="DY251" s="117"/>
      <c r="DZ251" s="117"/>
      <c r="EA251" s="117"/>
      <c r="EB251" s="117"/>
      <c r="EC251" s="117"/>
      <c r="ED251" s="117"/>
      <c r="EE251" s="117"/>
      <c r="EF251" s="117"/>
      <c r="EG251" s="117"/>
      <c r="EH251" s="117"/>
      <c r="EI251" s="117"/>
      <c r="EJ251" s="117"/>
      <c r="EK251" s="117"/>
      <c r="EL251" s="117"/>
      <c r="EM251" s="117"/>
      <c r="EN251" s="117"/>
      <c r="EO251" s="117"/>
      <c r="EP251" s="117"/>
      <c r="EQ251" s="117"/>
      <c r="ER251" s="117"/>
      <c r="ES251" s="117"/>
      <c r="ET251" s="117"/>
      <c r="EU251" s="117"/>
      <c r="EV251" s="117"/>
      <c r="EW251" s="117"/>
      <c r="EX251" s="117"/>
      <c r="EY251" s="117"/>
      <c r="EZ251" s="117"/>
      <c r="FA251" s="117"/>
      <c r="FB251" s="117"/>
      <c r="FC251" s="117"/>
      <c r="FD251" s="117"/>
      <c r="FE251" s="117"/>
      <c r="FF251" s="117"/>
      <c r="FG251" s="117"/>
      <c r="FH251" s="117"/>
      <c r="FI251" s="117"/>
      <c r="FJ251" s="117"/>
      <c r="FK251" s="117"/>
      <c r="FL251" s="117"/>
      <c r="FM251" s="117"/>
      <c r="FN251" s="117"/>
      <c r="FO251" s="117"/>
      <c r="FP251" s="117"/>
      <c r="FQ251" s="117"/>
      <c r="FR251" s="117"/>
      <c r="FS251" s="117"/>
      <c r="FT251" s="117"/>
      <c r="FU251" s="117"/>
      <c r="FV251" s="117"/>
      <c r="FW251" s="117"/>
      <c r="FX251" s="117"/>
      <c r="FY251" s="117"/>
      <c r="FZ251" s="117"/>
      <c r="GA251" s="117"/>
      <c r="GB251" s="117"/>
      <c r="GC251" s="117"/>
      <c r="GD251" s="117"/>
      <c r="GE251" s="117"/>
    </row>
    <row r="252" spans="1:187" s="11" customFormat="1" ht="15">
      <c r="A252" s="525"/>
      <c r="B252" s="528"/>
      <c r="C252" s="525"/>
      <c r="D252" s="536" t="s">
        <v>1</v>
      </c>
      <c r="E252" s="533" t="s">
        <v>6</v>
      </c>
      <c r="F252" s="534"/>
      <c r="G252" s="534"/>
      <c r="H252" s="534"/>
      <c r="I252" s="534"/>
      <c r="J252" s="535"/>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P252" s="117"/>
      <c r="BQ252" s="117"/>
      <c r="BR252" s="117"/>
      <c r="BS252" s="117"/>
      <c r="BT252" s="117"/>
      <c r="BU252" s="117"/>
      <c r="BV252" s="117"/>
      <c r="BW252" s="117"/>
      <c r="BX252" s="117"/>
      <c r="BY252" s="117"/>
      <c r="BZ252" s="117"/>
      <c r="CA252" s="117"/>
      <c r="CB252" s="117"/>
      <c r="CC252" s="117"/>
      <c r="CD252" s="117"/>
      <c r="CE252" s="117"/>
      <c r="CF252" s="117"/>
      <c r="CG252" s="117"/>
      <c r="CH252" s="117"/>
      <c r="CI252" s="117"/>
      <c r="CJ252" s="117"/>
      <c r="CK252" s="117"/>
      <c r="CL252" s="117"/>
      <c r="CM252" s="117"/>
      <c r="CN252" s="117"/>
      <c r="CO252" s="117"/>
      <c r="CP252" s="117"/>
      <c r="CQ252" s="117"/>
      <c r="CR252" s="117"/>
      <c r="CS252" s="117"/>
      <c r="CT252" s="117"/>
      <c r="CU252" s="117"/>
      <c r="CV252" s="117"/>
      <c r="CW252" s="117"/>
      <c r="CX252" s="117"/>
      <c r="CY252" s="117"/>
      <c r="CZ252" s="117"/>
      <c r="DA252" s="117"/>
      <c r="DB252" s="117"/>
      <c r="DC252" s="117"/>
      <c r="DD252" s="117"/>
      <c r="DE252" s="117"/>
      <c r="DF252" s="117"/>
      <c r="DG252" s="117"/>
      <c r="DH252" s="117"/>
      <c r="DI252" s="117"/>
      <c r="DJ252" s="117"/>
      <c r="DK252" s="117"/>
      <c r="DL252" s="117"/>
      <c r="DM252" s="117"/>
      <c r="DN252" s="117"/>
      <c r="DO252" s="117"/>
      <c r="DP252" s="117"/>
      <c r="DQ252" s="117"/>
      <c r="DR252" s="117"/>
      <c r="DS252" s="117"/>
      <c r="DT252" s="117"/>
      <c r="DU252" s="117"/>
      <c r="DV252" s="117"/>
      <c r="DW252" s="117"/>
      <c r="DX252" s="117"/>
      <c r="DY252" s="117"/>
      <c r="DZ252" s="117"/>
      <c r="EA252" s="117"/>
      <c r="EB252" s="117"/>
      <c r="EC252" s="117"/>
      <c r="ED252" s="117"/>
      <c r="EE252" s="117"/>
      <c r="EF252" s="117"/>
      <c r="EG252" s="117"/>
      <c r="EH252" s="117"/>
      <c r="EI252" s="117"/>
      <c r="EJ252" s="117"/>
      <c r="EK252" s="117"/>
      <c r="EL252" s="117"/>
      <c r="EM252" s="117"/>
      <c r="EN252" s="117"/>
      <c r="EO252" s="117"/>
      <c r="EP252" s="117"/>
      <c r="EQ252" s="117"/>
      <c r="ER252" s="117"/>
      <c r="ES252" s="117"/>
      <c r="ET252" s="117"/>
      <c r="EU252" s="117"/>
      <c r="EV252" s="117"/>
      <c r="EW252" s="117"/>
      <c r="EX252" s="117"/>
      <c r="EY252" s="117"/>
      <c r="EZ252" s="117"/>
      <c r="FA252" s="117"/>
      <c r="FB252" s="117"/>
      <c r="FC252" s="117"/>
      <c r="FD252" s="117"/>
      <c r="FE252" s="117"/>
      <c r="FF252" s="117"/>
      <c r="FG252" s="117"/>
      <c r="FH252" s="117"/>
      <c r="FI252" s="117"/>
      <c r="FJ252" s="117"/>
      <c r="FK252" s="117"/>
      <c r="FL252" s="117"/>
      <c r="FM252" s="117"/>
      <c r="FN252" s="117"/>
      <c r="FO252" s="117"/>
      <c r="FP252" s="117"/>
      <c r="FQ252" s="117"/>
      <c r="FR252" s="117"/>
      <c r="FS252" s="117"/>
      <c r="FT252" s="117"/>
      <c r="FU252" s="117"/>
      <c r="FV252" s="117"/>
      <c r="FW252" s="117"/>
      <c r="FX252" s="117"/>
      <c r="FY252" s="117"/>
      <c r="FZ252" s="117"/>
      <c r="GA252" s="117"/>
      <c r="GB252" s="117"/>
      <c r="GC252" s="117"/>
      <c r="GD252" s="117"/>
      <c r="GE252" s="117"/>
    </row>
    <row r="253" spans="1:187" s="11" customFormat="1" ht="42" customHeight="1">
      <c r="A253" s="525"/>
      <c r="B253" s="528"/>
      <c r="C253" s="525"/>
      <c r="D253" s="537"/>
      <c r="E253" s="530" t="s">
        <v>85</v>
      </c>
      <c r="F253" s="530"/>
      <c r="G253" s="539" t="s">
        <v>87</v>
      </c>
      <c r="H253" s="524" t="s">
        <v>116</v>
      </c>
      <c r="I253" s="524" t="s">
        <v>86</v>
      </c>
      <c r="J253" s="530" t="s">
        <v>224</v>
      </c>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P253" s="117"/>
      <c r="BQ253" s="117"/>
      <c r="BR253" s="117"/>
      <c r="BS253" s="117"/>
      <c r="BT253" s="117"/>
      <c r="BU253" s="117"/>
      <c r="BV253" s="117"/>
      <c r="BW253" s="117"/>
      <c r="BX253" s="117"/>
      <c r="BY253" s="117"/>
      <c r="BZ253" s="117"/>
      <c r="CA253" s="117"/>
      <c r="CB253" s="117"/>
      <c r="CC253" s="117"/>
      <c r="CD253" s="117"/>
      <c r="CE253" s="117"/>
      <c r="CF253" s="117"/>
      <c r="CG253" s="117"/>
      <c r="CH253" s="117"/>
      <c r="CI253" s="117"/>
      <c r="CJ253" s="117"/>
      <c r="CK253" s="117"/>
      <c r="CL253" s="117"/>
      <c r="CM253" s="117"/>
      <c r="CN253" s="117"/>
      <c r="CO253" s="117"/>
      <c r="CP253" s="117"/>
      <c r="CQ253" s="117"/>
      <c r="CR253" s="117"/>
      <c r="CS253" s="117"/>
      <c r="CT253" s="117"/>
      <c r="CU253" s="117"/>
      <c r="CV253" s="117"/>
      <c r="CW253" s="117"/>
      <c r="CX253" s="117"/>
      <c r="CY253" s="117"/>
      <c r="CZ253" s="117"/>
      <c r="DA253" s="117"/>
      <c r="DB253" s="117"/>
      <c r="DC253" s="117"/>
      <c r="DD253" s="117"/>
      <c r="DE253" s="117"/>
      <c r="DF253" s="117"/>
      <c r="DG253" s="117"/>
      <c r="DH253" s="117"/>
      <c r="DI253" s="117"/>
      <c r="DJ253" s="117"/>
      <c r="DK253" s="117"/>
      <c r="DL253" s="117"/>
      <c r="DM253" s="117"/>
      <c r="DN253" s="117"/>
      <c r="DO253" s="117"/>
      <c r="DP253" s="117"/>
      <c r="DQ253" s="117"/>
      <c r="DR253" s="117"/>
      <c r="DS253" s="117"/>
      <c r="DT253" s="117"/>
      <c r="DU253" s="117"/>
      <c r="DV253" s="117"/>
      <c r="DW253" s="117"/>
      <c r="DX253" s="117"/>
      <c r="DY253" s="117"/>
      <c r="DZ253" s="117"/>
      <c r="EA253" s="117"/>
      <c r="EB253" s="117"/>
      <c r="EC253" s="117"/>
      <c r="ED253" s="117"/>
      <c r="EE253" s="117"/>
      <c r="EF253" s="117"/>
      <c r="EG253" s="117"/>
      <c r="EH253" s="117"/>
      <c r="EI253" s="117"/>
      <c r="EJ253" s="117"/>
      <c r="EK253" s="117"/>
      <c r="EL253" s="117"/>
      <c r="EM253" s="117"/>
      <c r="EN253" s="117"/>
      <c r="EO253" s="117"/>
      <c r="EP253" s="117"/>
      <c r="EQ253" s="117"/>
      <c r="ER253" s="117"/>
      <c r="ES253" s="117"/>
      <c r="ET253" s="117"/>
      <c r="EU253" s="117"/>
      <c r="EV253" s="117"/>
      <c r="EW253" s="117"/>
      <c r="EX253" s="117"/>
      <c r="EY253" s="117"/>
      <c r="EZ253" s="117"/>
      <c r="FA253" s="117"/>
      <c r="FB253" s="117"/>
      <c r="FC253" s="117"/>
      <c r="FD253" s="117"/>
      <c r="FE253" s="117"/>
      <c r="FF253" s="117"/>
      <c r="FG253" s="117"/>
      <c r="FH253" s="117"/>
      <c r="FI253" s="117"/>
      <c r="FJ253" s="117"/>
      <c r="FK253" s="117"/>
      <c r="FL253" s="117"/>
      <c r="FM253" s="117"/>
      <c r="FN253" s="117"/>
      <c r="FO253" s="117"/>
      <c r="FP253" s="117"/>
      <c r="FQ253" s="117"/>
      <c r="FR253" s="117"/>
      <c r="FS253" s="117"/>
      <c r="FT253" s="117"/>
      <c r="FU253" s="117"/>
      <c r="FV253" s="117"/>
      <c r="FW253" s="117"/>
      <c r="FX253" s="117"/>
      <c r="FY253" s="117"/>
      <c r="FZ253" s="117"/>
      <c r="GA253" s="117"/>
      <c r="GB253" s="117"/>
      <c r="GC253" s="117"/>
      <c r="GD253" s="117"/>
      <c r="GE253" s="117"/>
    </row>
    <row r="254" spans="1:187" s="11" customFormat="1" ht="103.5" customHeight="1">
      <c r="A254" s="526"/>
      <c r="B254" s="529"/>
      <c r="C254" s="526"/>
      <c r="D254" s="538"/>
      <c r="E254" s="28" t="s">
        <v>81</v>
      </c>
      <c r="F254" s="58" t="s">
        <v>82</v>
      </c>
      <c r="G254" s="540"/>
      <c r="H254" s="526"/>
      <c r="I254" s="526"/>
      <c r="J254" s="531"/>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c r="AY254" s="117"/>
      <c r="AZ254" s="117"/>
      <c r="BA254" s="117"/>
      <c r="BB254" s="117"/>
      <c r="BC254" s="117"/>
      <c r="BD254" s="117"/>
      <c r="BE254" s="117"/>
      <c r="BF254" s="117"/>
      <c r="BG254" s="117"/>
      <c r="BH254" s="117"/>
      <c r="BI254" s="117"/>
      <c r="BJ254" s="117"/>
      <c r="BK254" s="117"/>
      <c r="BL254" s="117"/>
      <c r="BM254" s="117"/>
      <c r="BN254" s="117"/>
      <c r="BO254" s="117"/>
      <c r="BP254" s="117"/>
      <c r="BQ254" s="117"/>
      <c r="BR254" s="117"/>
      <c r="BS254" s="117"/>
      <c r="BT254" s="117"/>
      <c r="BU254" s="117"/>
      <c r="BV254" s="117"/>
      <c r="BW254" s="117"/>
      <c r="BX254" s="117"/>
      <c r="BY254" s="117"/>
      <c r="BZ254" s="117"/>
      <c r="CA254" s="117"/>
      <c r="CB254" s="117"/>
      <c r="CC254" s="117"/>
      <c r="CD254" s="117"/>
      <c r="CE254" s="117"/>
      <c r="CF254" s="117"/>
      <c r="CG254" s="117"/>
      <c r="CH254" s="117"/>
      <c r="CI254" s="117"/>
      <c r="CJ254" s="117"/>
      <c r="CK254" s="117"/>
      <c r="CL254" s="117"/>
      <c r="CM254" s="117"/>
      <c r="CN254" s="117"/>
      <c r="CO254" s="117"/>
      <c r="CP254" s="117"/>
      <c r="CQ254" s="117"/>
      <c r="CR254" s="117"/>
      <c r="CS254" s="117"/>
      <c r="CT254" s="117"/>
      <c r="CU254" s="117"/>
      <c r="CV254" s="117"/>
      <c r="CW254" s="117"/>
      <c r="CX254" s="117"/>
      <c r="CY254" s="117"/>
      <c r="CZ254" s="117"/>
      <c r="DA254" s="117"/>
      <c r="DB254" s="117"/>
      <c r="DC254" s="117"/>
      <c r="DD254" s="117"/>
      <c r="DE254" s="117"/>
      <c r="DF254" s="117"/>
      <c r="DG254" s="117"/>
      <c r="DH254" s="117"/>
      <c r="DI254" s="117"/>
      <c r="DJ254" s="117"/>
      <c r="DK254" s="117"/>
      <c r="DL254" s="117"/>
      <c r="DM254" s="117"/>
      <c r="DN254" s="117"/>
      <c r="DO254" s="117"/>
      <c r="DP254" s="117"/>
      <c r="DQ254" s="117"/>
      <c r="DR254" s="117"/>
      <c r="DS254" s="117"/>
      <c r="DT254" s="117"/>
      <c r="DU254" s="117"/>
      <c r="DV254" s="117"/>
      <c r="DW254" s="117"/>
      <c r="DX254" s="117"/>
      <c r="DY254" s="117"/>
      <c r="DZ254" s="117"/>
      <c r="EA254" s="117"/>
      <c r="EB254" s="117"/>
      <c r="EC254" s="117"/>
      <c r="ED254" s="117"/>
      <c r="EE254" s="117"/>
      <c r="EF254" s="117"/>
      <c r="EG254" s="117"/>
      <c r="EH254" s="117"/>
      <c r="EI254" s="117"/>
      <c r="EJ254" s="117"/>
      <c r="EK254" s="117"/>
      <c r="EL254" s="117"/>
      <c r="EM254" s="117"/>
      <c r="EN254" s="117"/>
      <c r="EO254" s="117"/>
      <c r="EP254" s="117"/>
      <c r="EQ254" s="117"/>
      <c r="ER254" s="117"/>
      <c r="ES254" s="117"/>
      <c r="ET254" s="117"/>
      <c r="EU254" s="117"/>
      <c r="EV254" s="117"/>
      <c r="EW254" s="117"/>
      <c r="EX254" s="117"/>
      <c r="EY254" s="117"/>
      <c r="EZ254" s="117"/>
      <c r="FA254" s="117"/>
      <c r="FB254" s="117"/>
      <c r="FC254" s="117"/>
      <c r="FD254" s="117"/>
      <c r="FE254" s="117"/>
      <c r="FF254" s="117"/>
      <c r="FG254" s="117"/>
      <c r="FH254" s="117"/>
      <c r="FI254" s="117"/>
      <c r="FJ254" s="117"/>
      <c r="FK254" s="117"/>
      <c r="FL254" s="117"/>
      <c r="FM254" s="117"/>
      <c r="FN254" s="117"/>
      <c r="FO254" s="117"/>
      <c r="FP254" s="117"/>
      <c r="FQ254" s="117"/>
      <c r="FR254" s="117"/>
      <c r="FS254" s="117"/>
      <c r="FT254" s="117"/>
      <c r="FU254" s="117"/>
      <c r="FV254" s="117"/>
      <c r="FW254" s="117"/>
      <c r="FX254" s="117"/>
      <c r="FY254" s="117"/>
      <c r="FZ254" s="117"/>
      <c r="GA254" s="117"/>
      <c r="GB254" s="117"/>
      <c r="GC254" s="117"/>
      <c r="GD254" s="117"/>
      <c r="GE254" s="117"/>
    </row>
    <row r="255" spans="1:187" s="11" customFormat="1" ht="15">
      <c r="A255" s="64">
        <v>1</v>
      </c>
      <c r="B255" s="33">
        <v>2</v>
      </c>
      <c r="C255" s="34">
        <v>3</v>
      </c>
      <c r="D255" s="34">
        <v>4</v>
      </c>
      <c r="E255" s="34">
        <v>5</v>
      </c>
      <c r="F255" s="34">
        <v>6</v>
      </c>
      <c r="G255" s="34">
        <v>7</v>
      </c>
      <c r="H255" s="34">
        <v>8</v>
      </c>
      <c r="I255" s="34">
        <v>9</v>
      </c>
      <c r="J255" s="119">
        <v>10</v>
      </c>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117"/>
      <c r="AU255" s="117"/>
      <c r="AV255" s="117"/>
      <c r="AW255" s="117"/>
      <c r="AX255" s="117"/>
      <c r="AY255" s="117"/>
      <c r="AZ255" s="117"/>
      <c r="BA255" s="117"/>
      <c r="BB255" s="117"/>
      <c r="BC255" s="117"/>
      <c r="BD255" s="117"/>
      <c r="BE255" s="117"/>
      <c r="BF255" s="117"/>
      <c r="BG255" s="117"/>
      <c r="BH255" s="117"/>
      <c r="BI255" s="117"/>
      <c r="BJ255" s="117"/>
      <c r="BK255" s="117"/>
      <c r="BL255" s="117"/>
      <c r="BM255" s="117"/>
      <c r="BN255" s="117"/>
      <c r="BO255" s="117"/>
      <c r="BP255" s="117"/>
      <c r="BQ255" s="117"/>
      <c r="BR255" s="117"/>
      <c r="BS255" s="117"/>
      <c r="BT255" s="117"/>
      <c r="BU255" s="117"/>
      <c r="BV255" s="117"/>
      <c r="BW255" s="117"/>
      <c r="BX255" s="117"/>
      <c r="BY255" s="117"/>
      <c r="BZ255" s="117"/>
      <c r="CA255" s="117"/>
      <c r="CB255" s="117"/>
      <c r="CC255" s="117"/>
      <c r="CD255" s="117"/>
      <c r="CE255" s="117"/>
      <c r="CF255" s="117"/>
      <c r="CG255" s="117"/>
      <c r="CH255" s="117"/>
      <c r="CI255" s="117"/>
      <c r="CJ255" s="117"/>
      <c r="CK255" s="117"/>
      <c r="CL255" s="117"/>
      <c r="CM255" s="117"/>
      <c r="CN255" s="117"/>
      <c r="CO255" s="117"/>
      <c r="CP255" s="117"/>
      <c r="CQ255" s="117"/>
      <c r="CR255" s="117"/>
      <c r="CS255" s="117"/>
      <c r="CT255" s="117"/>
      <c r="CU255" s="117"/>
      <c r="CV255" s="117"/>
      <c r="CW255" s="117"/>
      <c r="CX255" s="117"/>
      <c r="CY255" s="117"/>
      <c r="CZ255" s="117"/>
      <c r="DA255" s="117"/>
      <c r="DB255" s="117"/>
      <c r="DC255" s="117"/>
      <c r="DD255" s="117"/>
      <c r="DE255" s="117"/>
      <c r="DF255" s="117"/>
      <c r="DG255" s="117"/>
      <c r="DH255" s="117"/>
      <c r="DI255" s="117"/>
      <c r="DJ255" s="117"/>
      <c r="DK255" s="117"/>
      <c r="DL255" s="117"/>
      <c r="DM255" s="117"/>
      <c r="DN255" s="117"/>
      <c r="DO255" s="117"/>
      <c r="DP255" s="117"/>
      <c r="DQ255" s="117"/>
      <c r="DR255" s="117"/>
      <c r="DS255" s="117"/>
      <c r="DT255" s="117"/>
      <c r="DU255" s="117"/>
      <c r="DV255" s="117"/>
      <c r="DW255" s="117"/>
      <c r="DX255" s="117"/>
      <c r="DY255" s="117"/>
      <c r="DZ255" s="117"/>
      <c r="EA255" s="117"/>
      <c r="EB255" s="117"/>
      <c r="EC255" s="117"/>
      <c r="ED255" s="117"/>
      <c r="EE255" s="117"/>
      <c r="EF255" s="117"/>
      <c r="EG255" s="117"/>
      <c r="EH255" s="117"/>
      <c r="EI255" s="117"/>
      <c r="EJ255" s="117"/>
      <c r="EK255" s="117"/>
      <c r="EL255" s="117"/>
      <c r="EM255" s="117"/>
      <c r="EN255" s="117"/>
      <c r="EO255" s="117"/>
      <c r="EP255" s="117"/>
      <c r="EQ255" s="117"/>
      <c r="ER255" s="117"/>
      <c r="ES255" s="117"/>
      <c r="ET255" s="117"/>
      <c r="EU255" s="117"/>
      <c r="EV255" s="117"/>
      <c r="EW255" s="117"/>
      <c r="EX255" s="117"/>
      <c r="EY255" s="117"/>
      <c r="EZ255" s="117"/>
      <c r="FA255" s="117"/>
      <c r="FB255" s="117"/>
      <c r="FC255" s="117"/>
      <c r="FD255" s="117"/>
      <c r="FE255" s="117"/>
      <c r="FF255" s="117"/>
      <c r="FG255" s="117"/>
      <c r="FH255" s="117"/>
      <c r="FI255" s="117"/>
      <c r="FJ255" s="117"/>
      <c r="FK255" s="117"/>
      <c r="FL255" s="117"/>
      <c r="FM255" s="117"/>
      <c r="FN255" s="117"/>
      <c r="FO255" s="117"/>
      <c r="FP255" s="117"/>
      <c r="FQ255" s="117"/>
      <c r="FR255" s="117"/>
      <c r="FS255" s="117"/>
      <c r="FT255" s="117"/>
      <c r="FU255" s="117"/>
      <c r="FV255" s="117"/>
      <c r="FW255" s="117"/>
      <c r="FX255" s="117"/>
      <c r="FY255" s="117"/>
      <c r="FZ255" s="117"/>
      <c r="GA255" s="117"/>
      <c r="GB255" s="117"/>
      <c r="GC255" s="117"/>
      <c r="GD255" s="117"/>
      <c r="GE255" s="117"/>
    </row>
    <row r="256" spans="1:187" s="11" customFormat="1" ht="15">
      <c r="A256" s="89" t="s">
        <v>89</v>
      </c>
      <c r="B256" s="13" t="s">
        <v>88</v>
      </c>
      <c r="C256" s="14" t="s">
        <v>35</v>
      </c>
      <c r="D256" s="15">
        <f>SUM(E256:J256)</f>
        <v>0</v>
      </c>
      <c r="E256" s="16"/>
      <c r="F256" s="16"/>
      <c r="G256" s="16"/>
      <c r="H256" s="16"/>
      <c r="I256" s="16"/>
      <c r="J256" s="16"/>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7"/>
      <c r="AY256" s="117"/>
      <c r="AZ256" s="117"/>
      <c r="BA256" s="117"/>
      <c r="BB256" s="117"/>
      <c r="BC256" s="117"/>
      <c r="BD256" s="117"/>
      <c r="BE256" s="117"/>
      <c r="BF256" s="117"/>
      <c r="BG256" s="117"/>
      <c r="BH256" s="117"/>
      <c r="BI256" s="117"/>
      <c r="BJ256" s="117"/>
      <c r="BK256" s="117"/>
      <c r="BL256" s="117"/>
      <c r="BM256" s="117"/>
      <c r="BN256" s="117"/>
      <c r="BO256" s="117"/>
      <c r="BP256" s="117"/>
      <c r="BQ256" s="117"/>
      <c r="BR256" s="117"/>
      <c r="BS256" s="117"/>
      <c r="BT256" s="117"/>
      <c r="BU256" s="117"/>
      <c r="BV256" s="117"/>
      <c r="BW256" s="117"/>
      <c r="BX256" s="117"/>
      <c r="BY256" s="117"/>
      <c r="BZ256" s="117"/>
      <c r="CA256" s="117"/>
      <c r="CB256" s="117"/>
      <c r="CC256" s="117"/>
      <c r="CD256" s="117"/>
      <c r="CE256" s="117"/>
      <c r="CF256" s="117"/>
      <c r="CG256" s="117"/>
      <c r="CH256" s="117"/>
      <c r="CI256" s="117"/>
      <c r="CJ256" s="117"/>
      <c r="CK256" s="117"/>
      <c r="CL256" s="117"/>
      <c r="CM256" s="117"/>
      <c r="CN256" s="117"/>
      <c r="CO256" s="117"/>
      <c r="CP256" s="117"/>
      <c r="CQ256" s="117"/>
      <c r="CR256" s="117"/>
      <c r="CS256" s="117"/>
      <c r="CT256" s="117"/>
      <c r="CU256" s="117"/>
      <c r="CV256" s="117"/>
      <c r="CW256" s="117"/>
      <c r="CX256" s="117"/>
      <c r="CY256" s="117"/>
      <c r="CZ256" s="117"/>
      <c r="DA256" s="117"/>
      <c r="DB256" s="117"/>
      <c r="DC256" s="117"/>
      <c r="DD256" s="117"/>
      <c r="DE256" s="117"/>
      <c r="DF256" s="117"/>
      <c r="DG256" s="117"/>
      <c r="DH256" s="117"/>
      <c r="DI256" s="117"/>
      <c r="DJ256" s="117"/>
      <c r="DK256" s="117"/>
      <c r="DL256" s="117"/>
      <c r="DM256" s="117"/>
      <c r="DN256" s="117"/>
      <c r="DO256" s="117"/>
      <c r="DP256" s="117"/>
      <c r="DQ256" s="117"/>
      <c r="DR256" s="117"/>
      <c r="DS256" s="117"/>
      <c r="DT256" s="117"/>
      <c r="DU256" s="117"/>
      <c r="DV256" s="117"/>
      <c r="DW256" s="117"/>
      <c r="DX256" s="117"/>
      <c r="DY256" s="117"/>
      <c r="DZ256" s="117"/>
      <c r="EA256" s="117"/>
      <c r="EB256" s="117"/>
      <c r="EC256" s="117"/>
      <c r="ED256" s="117"/>
      <c r="EE256" s="117"/>
      <c r="EF256" s="117"/>
      <c r="EG256" s="117"/>
      <c r="EH256" s="117"/>
      <c r="EI256" s="117"/>
      <c r="EJ256" s="117"/>
      <c r="EK256" s="117"/>
      <c r="EL256" s="117"/>
      <c r="EM256" s="117"/>
      <c r="EN256" s="117"/>
      <c r="EO256" s="117"/>
      <c r="EP256" s="117"/>
      <c r="EQ256" s="117"/>
      <c r="ER256" s="117"/>
      <c r="ES256" s="117"/>
      <c r="ET256" s="117"/>
      <c r="EU256" s="117"/>
      <c r="EV256" s="117"/>
      <c r="EW256" s="117"/>
      <c r="EX256" s="117"/>
      <c r="EY256" s="117"/>
      <c r="EZ256" s="117"/>
      <c r="FA256" s="117"/>
      <c r="FB256" s="117"/>
      <c r="FC256" s="117"/>
      <c r="FD256" s="117"/>
      <c r="FE256" s="117"/>
      <c r="FF256" s="117"/>
      <c r="FG256" s="117"/>
      <c r="FH256" s="117"/>
      <c r="FI256" s="117"/>
      <c r="FJ256" s="117"/>
      <c r="FK256" s="117"/>
      <c r="FL256" s="117"/>
      <c r="FM256" s="117"/>
      <c r="FN256" s="117"/>
      <c r="FO256" s="117"/>
      <c r="FP256" s="117"/>
      <c r="FQ256" s="117"/>
      <c r="FR256" s="117"/>
      <c r="FS256" s="117"/>
      <c r="FT256" s="117"/>
      <c r="FU256" s="117"/>
      <c r="FV256" s="117"/>
      <c r="FW256" s="117"/>
      <c r="FX256" s="117"/>
      <c r="FY256" s="117"/>
      <c r="FZ256" s="117"/>
      <c r="GA256" s="117"/>
      <c r="GB256" s="117"/>
      <c r="GC256" s="117"/>
      <c r="GD256" s="117"/>
      <c r="GE256" s="117"/>
    </row>
    <row r="257" spans="1:187" s="11" customFormat="1" ht="15">
      <c r="A257" s="89" t="s">
        <v>90</v>
      </c>
      <c r="B257" s="17" t="s">
        <v>91</v>
      </c>
      <c r="C257" s="14" t="s">
        <v>35</v>
      </c>
      <c r="D257" s="15">
        <f>SUM(E257:J257)</f>
        <v>0</v>
      </c>
      <c r="E257" s="16"/>
      <c r="F257" s="16"/>
      <c r="G257" s="16"/>
      <c r="H257" s="16"/>
      <c r="I257" s="16"/>
      <c r="J257" s="16"/>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7"/>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7"/>
      <c r="BR257" s="117"/>
      <c r="BS257" s="117"/>
      <c r="BT257" s="117"/>
      <c r="BU257" s="117"/>
      <c r="BV257" s="117"/>
      <c r="BW257" s="117"/>
      <c r="BX257" s="117"/>
      <c r="BY257" s="117"/>
      <c r="BZ257" s="117"/>
      <c r="CA257" s="117"/>
      <c r="CB257" s="117"/>
      <c r="CC257" s="117"/>
      <c r="CD257" s="117"/>
      <c r="CE257" s="117"/>
      <c r="CF257" s="117"/>
      <c r="CG257" s="117"/>
      <c r="CH257" s="117"/>
      <c r="CI257" s="117"/>
      <c r="CJ257" s="117"/>
      <c r="CK257" s="117"/>
      <c r="CL257" s="117"/>
      <c r="CM257" s="117"/>
      <c r="CN257" s="117"/>
      <c r="CO257" s="117"/>
      <c r="CP257" s="117"/>
      <c r="CQ257" s="117"/>
      <c r="CR257" s="117"/>
      <c r="CS257" s="117"/>
      <c r="CT257" s="117"/>
      <c r="CU257" s="117"/>
      <c r="CV257" s="117"/>
      <c r="CW257" s="117"/>
      <c r="CX257" s="117"/>
      <c r="CY257" s="117"/>
      <c r="CZ257" s="117"/>
      <c r="DA257" s="117"/>
      <c r="DB257" s="117"/>
      <c r="DC257" s="117"/>
      <c r="DD257" s="117"/>
      <c r="DE257" s="117"/>
      <c r="DF257" s="117"/>
      <c r="DG257" s="117"/>
      <c r="DH257" s="117"/>
      <c r="DI257" s="117"/>
      <c r="DJ257" s="117"/>
      <c r="DK257" s="117"/>
      <c r="DL257" s="117"/>
      <c r="DM257" s="117"/>
      <c r="DN257" s="117"/>
      <c r="DO257" s="117"/>
      <c r="DP257" s="117"/>
      <c r="DQ257" s="117"/>
      <c r="DR257" s="117"/>
      <c r="DS257" s="117"/>
      <c r="DT257" s="117"/>
      <c r="DU257" s="117"/>
      <c r="DV257" s="117"/>
      <c r="DW257" s="117"/>
      <c r="DX257" s="117"/>
      <c r="DY257" s="117"/>
      <c r="DZ257" s="117"/>
      <c r="EA257" s="117"/>
      <c r="EB257" s="117"/>
      <c r="EC257" s="117"/>
      <c r="ED257" s="117"/>
      <c r="EE257" s="117"/>
      <c r="EF257" s="117"/>
      <c r="EG257" s="117"/>
      <c r="EH257" s="117"/>
      <c r="EI257" s="117"/>
      <c r="EJ257" s="117"/>
      <c r="EK257" s="117"/>
      <c r="EL257" s="117"/>
      <c r="EM257" s="117"/>
      <c r="EN257" s="117"/>
      <c r="EO257" s="117"/>
      <c r="EP257" s="117"/>
      <c r="EQ257" s="117"/>
      <c r="ER257" s="117"/>
      <c r="ES257" s="117"/>
      <c r="ET257" s="117"/>
      <c r="EU257" s="117"/>
      <c r="EV257" s="117"/>
      <c r="EW257" s="117"/>
      <c r="EX257" s="117"/>
      <c r="EY257" s="117"/>
      <c r="EZ257" s="117"/>
      <c r="FA257" s="117"/>
      <c r="FB257" s="117"/>
      <c r="FC257" s="117"/>
      <c r="FD257" s="117"/>
      <c r="FE257" s="117"/>
      <c r="FF257" s="117"/>
      <c r="FG257" s="117"/>
      <c r="FH257" s="117"/>
      <c r="FI257" s="117"/>
      <c r="FJ257" s="117"/>
      <c r="FK257" s="117"/>
      <c r="FL257" s="117"/>
      <c r="FM257" s="117"/>
      <c r="FN257" s="117"/>
      <c r="FO257" s="117"/>
      <c r="FP257" s="117"/>
      <c r="FQ257" s="117"/>
      <c r="FR257" s="117"/>
      <c r="FS257" s="117"/>
      <c r="FT257" s="117"/>
      <c r="FU257" s="117"/>
      <c r="FV257" s="117"/>
      <c r="FW257" s="117"/>
      <c r="FX257" s="117"/>
      <c r="FY257" s="117"/>
      <c r="FZ257" s="117"/>
      <c r="GA257" s="117"/>
      <c r="GB257" s="117"/>
      <c r="GC257" s="117"/>
      <c r="GD257" s="117"/>
      <c r="GE257" s="117"/>
    </row>
    <row r="258" spans="1:187" s="11" customFormat="1" ht="17.25" customHeight="1">
      <c r="A258" s="18" t="s">
        <v>92</v>
      </c>
      <c r="B258" s="19" t="s">
        <v>93</v>
      </c>
      <c r="C258" s="20"/>
      <c r="D258" s="219">
        <f>SUM(E258:J258)</f>
        <v>75029605.32341999</v>
      </c>
      <c r="E258" s="21">
        <f>E263</f>
        <v>14000000.003419999</v>
      </c>
      <c r="F258" s="21">
        <f>F263</f>
        <v>60772920</v>
      </c>
      <c r="G258" s="21">
        <f>G270</f>
        <v>0</v>
      </c>
      <c r="H258" s="21">
        <f>H260+H263+H270</f>
        <v>256685.32</v>
      </c>
      <c r="I258" s="21"/>
      <c r="J258" s="120"/>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117"/>
      <c r="AU258" s="117"/>
      <c r="AV258" s="117"/>
      <c r="AW258" s="117"/>
      <c r="AX258" s="117"/>
      <c r="AY258" s="117"/>
      <c r="AZ258" s="117"/>
      <c r="BA258" s="117"/>
      <c r="BB258" s="117"/>
      <c r="BC258" s="117"/>
      <c r="BD258" s="117"/>
      <c r="BE258" s="117"/>
      <c r="BF258" s="117"/>
      <c r="BG258" s="117"/>
      <c r="BH258" s="117"/>
      <c r="BI258" s="117"/>
      <c r="BJ258" s="117"/>
      <c r="BK258" s="117"/>
      <c r="BL258" s="117"/>
      <c r="BM258" s="117"/>
      <c r="BN258" s="117"/>
      <c r="BO258" s="117"/>
      <c r="BP258" s="117"/>
      <c r="BQ258" s="117"/>
      <c r="BR258" s="117"/>
      <c r="BS258" s="117"/>
      <c r="BT258" s="117"/>
      <c r="BU258" s="117"/>
      <c r="BV258" s="117"/>
      <c r="BW258" s="117"/>
      <c r="BX258" s="117"/>
      <c r="BY258" s="117"/>
      <c r="BZ258" s="117"/>
      <c r="CA258" s="117"/>
      <c r="CB258" s="117"/>
      <c r="CC258" s="117"/>
      <c r="CD258" s="117"/>
      <c r="CE258" s="117"/>
      <c r="CF258" s="117"/>
      <c r="CG258" s="117"/>
      <c r="CH258" s="117"/>
      <c r="CI258" s="117"/>
      <c r="CJ258" s="117"/>
      <c r="CK258" s="117"/>
      <c r="CL258" s="117"/>
      <c r="CM258" s="117"/>
      <c r="CN258" s="117"/>
      <c r="CO258" s="117"/>
      <c r="CP258" s="117"/>
      <c r="CQ258" s="117"/>
      <c r="CR258" s="117"/>
      <c r="CS258" s="117"/>
      <c r="CT258" s="117"/>
      <c r="CU258" s="117"/>
      <c r="CV258" s="117"/>
      <c r="CW258" s="117"/>
      <c r="CX258" s="117"/>
      <c r="CY258" s="117"/>
      <c r="CZ258" s="117"/>
      <c r="DA258" s="117"/>
      <c r="DB258" s="117"/>
      <c r="DC258" s="117"/>
      <c r="DD258" s="117"/>
      <c r="DE258" s="117"/>
      <c r="DF258" s="117"/>
      <c r="DG258" s="117"/>
      <c r="DH258" s="117"/>
      <c r="DI258" s="117"/>
      <c r="DJ258" s="117"/>
      <c r="DK258" s="117"/>
      <c r="DL258" s="117"/>
      <c r="DM258" s="117"/>
      <c r="DN258" s="117"/>
      <c r="DO258" s="117"/>
      <c r="DP258" s="117"/>
      <c r="DQ258" s="117"/>
      <c r="DR258" s="117"/>
      <c r="DS258" s="117"/>
      <c r="DT258" s="117"/>
      <c r="DU258" s="117"/>
      <c r="DV258" s="117"/>
      <c r="DW258" s="117"/>
      <c r="DX258" s="117"/>
      <c r="DY258" s="117"/>
      <c r="DZ258" s="117"/>
      <c r="EA258" s="117"/>
      <c r="EB258" s="117"/>
      <c r="EC258" s="117"/>
      <c r="ED258" s="117"/>
      <c r="EE258" s="117"/>
      <c r="EF258" s="117"/>
      <c r="EG258" s="117"/>
      <c r="EH258" s="117"/>
      <c r="EI258" s="117"/>
      <c r="EJ258" s="117"/>
      <c r="EK258" s="117"/>
      <c r="EL258" s="117"/>
      <c r="EM258" s="117"/>
      <c r="EN258" s="117"/>
      <c r="EO258" s="117"/>
      <c r="EP258" s="117"/>
      <c r="EQ258" s="117"/>
      <c r="ER258" s="117"/>
      <c r="ES258" s="117"/>
      <c r="ET258" s="117"/>
      <c r="EU258" s="117"/>
      <c r="EV258" s="117"/>
      <c r="EW258" s="117"/>
      <c r="EX258" s="117"/>
      <c r="EY258" s="117"/>
      <c r="EZ258" s="117"/>
      <c r="FA258" s="117"/>
      <c r="FB258" s="117"/>
      <c r="FC258" s="117"/>
      <c r="FD258" s="117"/>
      <c r="FE258" s="117"/>
      <c r="FF258" s="117"/>
      <c r="FG258" s="117"/>
      <c r="FH258" s="117"/>
      <c r="FI258" s="117"/>
      <c r="FJ258" s="117"/>
      <c r="FK258" s="117"/>
      <c r="FL258" s="117"/>
      <c r="FM258" s="117"/>
      <c r="FN258" s="117"/>
      <c r="FO258" s="117"/>
      <c r="FP258" s="117"/>
      <c r="FQ258" s="117"/>
      <c r="FR258" s="117"/>
      <c r="FS258" s="117"/>
      <c r="FT258" s="117"/>
      <c r="FU258" s="117"/>
      <c r="FV258" s="117"/>
      <c r="FW258" s="117"/>
      <c r="FX258" s="117"/>
      <c r="FY258" s="117"/>
      <c r="FZ258" s="117"/>
      <c r="GA258" s="117"/>
      <c r="GB258" s="117"/>
      <c r="GC258" s="117"/>
      <c r="GD258" s="117"/>
      <c r="GE258" s="117"/>
    </row>
    <row r="259" spans="1:10" ht="15" hidden="1">
      <c r="A259" s="39" t="s">
        <v>100</v>
      </c>
      <c r="B259" s="54"/>
      <c r="C259" s="29"/>
      <c r="D259" s="220"/>
      <c r="E259" s="55"/>
      <c r="F259" s="55"/>
      <c r="G259" s="55"/>
      <c r="H259" s="55"/>
      <c r="I259" s="55"/>
      <c r="J259" s="121"/>
    </row>
    <row r="260" spans="1:10" ht="30.75">
      <c r="A260" s="32" t="s">
        <v>759</v>
      </c>
      <c r="B260" s="33" t="s">
        <v>94</v>
      </c>
      <c r="C260" s="34">
        <v>120</v>
      </c>
      <c r="D260" s="220">
        <f>SUM(E260:J260)</f>
        <v>206288.30000000002</v>
      </c>
      <c r="E260" s="35"/>
      <c r="F260" s="35"/>
      <c r="G260" s="35"/>
      <c r="H260" s="35">
        <f>H261+H262</f>
        <v>206288.30000000002</v>
      </c>
      <c r="I260" s="35"/>
      <c r="J260" s="122"/>
    </row>
    <row r="261" spans="1:10" ht="26.25">
      <c r="A261" s="39" t="s">
        <v>760</v>
      </c>
      <c r="B261" s="54" t="s">
        <v>714</v>
      </c>
      <c r="C261" s="29" t="s">
        <v>645</v>
      </c>
      <c r="D261" s="220">
        <f>SUM(E261:J261)</f>
        <v>19602.7</v>
      </c>
      <c r="E261" s="55"/>
      <c r="F261" s="55"/>
      <c r="G261" s="55"/>
      <c r="H261" s="55">
        <v>19602.7</v>
      </c>
      <c r="I261" s="215"/>
      <c r="J261" s="121"/>
    </row>
    <row r="262" spans="1:10" ht="15">
      <c r="A262" s="39" t="s">
        <v>287</v>
      </c>
      <c r="B262" s="54" t="s">
        <v>730</v>
      </c>
      <c r="C262" s="29" t="s">
        <v>645</v>
      </c>
      <c r="D262" s="220">
        <f>SUM(E262:J262)</f>
        <v>186685.6</v>
      </c>
      <c r="E262" s="55"/>
      <c r="F262" s="55"/>
      <c r="G262" s="55"/>
      <c r="H262" s="55">
        <v>186685.6</v>
      </c>
      <c r="I262" s="55"/>
      <c r="J262" s="121"/>
    </row>
    <row r="263" spans="1:10" ht="30.75" customHeight="1">
      <c r="A263" s="32" t="s">
        <v>114</v>
      </c>
      <c r="B263" s="33" t="s">
        <v>95</v>
      </c>
      <c r="C263" s="34">
        <v>130</v>
      </c>
      <c r="D263" s="220">
        <f>SUM(E263:J263)</f>
        <v>74822317.02341999</v>
      </c>
      <c r="E263" s="35">
        <f>E265</f>
        <v>14000000.003419999</v>
      </c>
      <c r="F263" s="35">
        <f>F265</f>
        <v>60772920</v>
      </c>
      <c r="G263" s="35"/>
      <c r="H263" s="35">
        <f>H267</f>
        <v>49397.02</v>
      </c>
      <c r="I263" s="35"/>
      <c r="J263" s="122"/>
    </row>
    <row r="264" spans="1:10" ht="15" hidden="1">
      <c r="A264" s="40" t="s">
        <v>100</v>
      </c>
      <c r="B264" s="54"/>
      <c r="C264" s="29"/>
      <c r="D264" s="220"/>
      <c r="E264" s="55"/>
      <c r="F264" s="55"/>
      <c r="G264" s="55"/>
      <c r="H264" s="55"/>
      <c r="I264" s="55"/>
      <c r="J264" s="121"/>
    </row>
    <row r="265" spans="1:10" ht="46.5">
      <c r="A265" s="36" t="s">
        <v>761</v>
      </c>
      <c r="B265" s="30" t="s">
        <v>98</v>
      </c>
      <c r="C265" s="28" t="s">
        <v>364</v>
      </c>
      <c r="D265" s="220">
        <f>SUM(E265:J265)</f>
        <v>74772920.00342</v>
      </c>
      <c r="E265" s="31">
        <f>E287</f>
        <v>14000000.003419999</v>
      </c>
      <c r="F265" s="31">
        <f>F287</f>
        <v>60772920</v>
      </c>
      <c r="G265" s="31"/>
      <c r="H265" s="31"/>
      <c r="I265" s="31"/>
      <c r="J265" s="123"/>
    </row>
    <row r="266" spans="1:10" ht="62.25" hidden="1">
      <c r="A266" s="36" t="s">
        <v>97</v>
      </c>
      <c r="B266" s="30" t="s">
        <v>96</v>
      </c>
      <c r="C266" s="28" t="s">
        <v>364</v>
      </c>
      <c r="D266" s="220"/>
      <c r="E266" s="31"/>
      <c r="F266" s="31"/>
      <c r="G266" s="31"/>
      <c r="H266" s="31"/>
      <c r="I266" s="31"/>
      <c r="J266" s="123"/>
    </row>
    <row r="267" spans="1:10" ht="17.25" customHeight="1">
      <c r="A267" s="36" t="s">
        <v>447</v>
      </c>
      <c r="B267" s="30" t="s">
        <v>288</v>
      </c>
      <c r="C267" s="28" t="s">
        <v>364</v>
      </c>
      <c r="D267" s="220">
        <f>SUM(E267:J267)</f>
        <v>49397.02</v>
      </c>
      <c r="E267" s="31"/>
      <c r="F267" s="31"/>
      <c r="G267" s="31"/>
      <c r="H267" s="31">
        <v>49397.02</v>
      </c>
      <c r="I267" s="31"/>
      <c r="J267" s="123"/>
    </row>
    <row r="268" spans="1:10" ht="30.75" hidden="1">
      <c r="A268" s="37" t="s">
        <v>113</v>
      </c>
      <c r="B268" s="33" t="s">
        <v>99</v>
      </c>
      <c r="C268" s="34">
        <v>140</v>
      </c>
      <c r="D268" s="220"/>
      <c r="E268" s="35"/>
      <c r="F268" s="35"/>
      <c r="G268" s="35"/>
      <c r="H268" s="35"/>
      <c r="I268" s="35"/>
      <c r="J268" s="122"/>
    </row>
    <row r="269" spans="1:10" ht="39" hidden="1">
      <c r="A269" s="208" t="s">
        <v>289</v>
      </c>
      <c r="B269" s="54" t="s">
        <v>101</v>
      </c>
      <c r="C269" s="29" t="s">
        <v>365</v>
      </c>
      <c r="D269" s="220"/>
      <c r="E269" s="55"/>
      <c r="F269" s="55"/>
      <c r="G269" s="55"/>
      <c r="H269" s="55"/>
      <c r="I269" s="55"/>
      <c r="J269" s="124"/>
    </row>
    <row r="270" spans="1:10" ht="15">
      <c r="A270" s="37" t="s">
        <v>106</v>
      </c>
      <c r="B270" s="33" t="s">
        <v>102</v>
      </c>
      <c r="C270" s="34">
        <v>150</v>
      </c>
      <c r="D270" s="220">
        <f>SUM(E270:J270)</f>
        <v>1000</v>
      </c>
      <c r="E270" s="35"/>
      <c r="F270" s="35"/>
      <c r="G270" s="35">
        <f>G277+G278</f>
        <v>0</v>
      </c>
      <c r="H270" s="35">
        <f>H279</f>
        <v>1000</v>
      </c>
      <c r="I270" s="35"/>
      <c r="J270" s="122"/>
    </row>
    <row r="271" spans="1:10" ht="15" hidden="1">
      <c r="A271" s="40" t="s">
        <v>294</v>
      </c>
      <c r="B271" s="54" t="s">
        <v>104</v>
      </c>
      <c r="C271" s="29" t="s">
        <v>366</v>
      </c>
      <c r="D271" s="220"/>
      <c r="E271" s="55"/>
      <c r="F271" s="55"/>
      <c r="G271" s="55"/>
      <c r="H271" s="55"/>
      <c r="I271" s="55"/>
      <c r="J271" s="124"/>
    </row>
    <row r="272" spans="1:10" ht="15" hidden="1">
      <c r="A272" s="40" t="s">
        <v>300</v>
      </c>
      <c r="B272" s="54"/>
      <c r="C272" s="29" t="s">
        <v>366</v>
      </c>
      <c r="D272" s="220"/>
      <c r="E272" s="55"/>
      <c r="F272" s="55"/>
      <c r="G272" s="55"/>
      <c r="H272" s="55"/>
      <c r="I272" s="55"/>
      <c r="J272" s="124"/>
    </row>
    <row r="273" spans="1:10" ht="15" hidden="1">
      <c r="A273" s="40" t="s">
        <v>172</v>
      </c>
      <c r="B273" s="54"/>
      <c r="C273" s="29" t="s">
        <v>366</v>
      </c>
      <c r="D273" s="220"/>
      <c r="E273" s="55"/>
      <c r="F273" s="55"/>
      <c r="G273" s="55"/>
      <c r="H273" s="55"/>
      <c r="I273" s="55"/>
      <c r="J273" s="124"/>
    </row>
    <row r="274" spans="1:10" ht="15" hidden="1">
      <c r="A274" s="40" t="s">
        <v>290</v>
      </c>
      <c r="B274" s="54" t="s">
        <v>107</v>
      </c>
      <c r="C274" s="29" t="s">
        <v>366</v>
      </c>
      <c r="D274" s="220"/>
      <c r="E274" s="55"/>
      <c r="F274" s="55"/>
      <c r="G274" s="55"/>
      <c r="H274" s="55"/>
      <c r="I274" s="55"/>
      <c r="J274" s="124"/>
    </row>
    <row r="275" spans="1:187" s="60" customFormat="1" ht="0.75" customHeight="1">
      <c r="A275" s="40" t="s">
        <v>525</v>
      </c>
      <c r="B275" s="54"/>
      <c r="C275" s="29" t="s">
        <v>454</v>
      </c>
      <c r="D275" s="220"/>
      <c r="E275" s="55"/>
      <c r="F275" s="55"/>
      <c r="G275" s="55"/>
      <c r="H275" s="55"/>
      <c r="I275" s="55"/>
      <c r="J275" s="124"/>
      <c r="K275" s="107"/>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3"/>
      <c r="AL275" s="103"/>
      <c r="AM275" s="103"/>
      <c r="AN275" s="103"/>
      <c r="AO275" s="103"/>
      <c r="AP275" s="103"/>
      <c r="AQ275" s="103"/>
      <c r="AR275" s="103"/>
      <c r="AS275" s="103"/>
      <c r="AT275" s="103"/>
      <c r="AU275" s="103"/>
      <c r="AV275" s="103"/>
      <c r="AW275" s="103"/>
      <c r="AX275" s="103"/>
      <c r="AY275" s="103"/>
      <c r="AZ275" s="103"/>
      <c r="BA275" s="103"/>
      <c r="BB275" s="103"/>
      <c r="BC275" s="103"/>
      <c r="BD275" s="103"/>
      <c r="BE275" s="103"/>
      <c r="BF275" s="103"/>
      <c r="BG275" s="103"/>
      <c r="BH275" s="103"/>
      <c r="BI275" s="103"/>
      <c r="BJ275" s="103"/>
      <c r="BK275" s="103"/>
      <c r="BL275" s="103"/>
      <c r="BM275" s="103"/>
      <c r="BN275" s="103"/>
      <c r="BO275" s="103"/>
      <c r="BP275" s="103"/>
      <c r="BQ275" s="103"/>
      <c r="BR275" s="103"/>
      <c r="BS275" s="103"/>
      <c r="BT275" s="103"/>
      <c r="BU275" s="103"/>
      <c r="BV275" s="103"/>
      <c r="BW275" s="103"/>
      <c r="BX275" s="103"/>
      <c r="BY275" s="103"/>
      <c r="BZ275" s="103"/>
      <c r="CA275" s="103"/>
      <c r="CB275" s="103"/>
      <c r="CC275" s="103"/>
      <c r="CD275" s="103"/>
      <c r="CE275" s="103"/>
      <c r="CF275" s="103"/>
      <c r="CG275" s="103"/>
      <c r="CH275" s="103"/>
      <c r="CI275" s="103"/>
      <c r="CJ275" s="103"/>
      <c r="CK275" s="103"/>
      <c r="CL275" s="103"/>
      <c r="CM275" s="103"/>
      <c r="CN275" s="103"/>
      <c r="CO275" s="103"/>
      <c r="CP275" s="103"/>
      <c r="CQ275" s="103"/>
      <c r="CR275" s="103"/>
      <c r="CS275" s="103"/>
      <c r="CT275" s="103"/>
      <c r="CU275" s="103"/>
      <c r="CV275" s="103"/>
      <c r="CW275" s="103"/>
      <c r="CX275" s="103"/>
      <c r="CY275" s="103"/>
      <c r="CZ275" s="103"/>
      <c r="DA275" s="103"/>
      <c r="DB275" s="103"/>
      <c r="DC275" s="103"/>
      <c r="DD275" s="103"/>
      <c r="DE275" s="103"/>
      <c r="DF275" s="103"/>
      <c r="DG275" s="103"/>
      <c r="DH275" s="103"/>
      <c r="DI275" s="103"/>
      <c r="DJ275" s="103"/>
      <c r="DK275" s="103"/>
      <c r="DL275" s="103"/>
      <c r="DM275" s="103"/>
      <c r="DN275" s="103"/>
      <c r="DO275" s="103"/>
      <c r="DP275" s="103"/>
      <c r="DQ275" s="103"/>
      <c r="DR275" s="103"/>
      <c r="DS275" s="103"/>
      <c r="DT275" s="103"/>
      <c r="DU275" s="103"/>
      <c r="DV275" s="103"/>
      <c r="DW275" s="103"/>
      <c r="DX275" s="103"/>
      <c r="DY275" s="103"/>
      <c r="DZ275" s="103"/>
      <c r="EA275" s="103"/>
      <c r="EB275" s="103"/>
      <c r="EC275" s="103"/>
      <c r="ED275" s="103"/>
      <c r="EE275" s="103"/>
      <c r="EF275" s="103"/>
      <c r="EG275" s="103"/>
      <c r="EH275" s="103"/>
      <c r="EI275" s="103"/>
      <c r="EJ275" s="103"/>
      <c r="EK275" s="103"/>
      <c r="EL275" s="103"/>
      <c r="EM275" s="103"/>
      <c r="EN275" s="103"/>
      <c r="EO275" s="103"/>
      <c r="EP275" s="103"/>
      <c r="EQ275" s="103"/>
      <c r="ER275" s="103"/>
      <c r="ES275" s="103"/>
      <c r="ET275" s="103"/>
      <c r="EU275" s="103"/>
      <c r="EV275" s="103"/>
      <c r="EW275" s="103"/>
      <c r="EX275" s="103"/>
      <c r="EY275" s="103"/>
      <c r="EZ275" s="103"/>
      <c r="FA275" s="103"/>
      <c r="FB275" s="103"/>
      <c r="FC275" s="103"/>
      <c r="FD275" s="103"/>
      <c r="FE275" s="103"/>
      <c r="FF275" s="103"/>
      <c r="FG275" s="103"/>
      <c r="FH275" s="103"/>
      <c r="FI275" s="103"/>
      <c r="FJ275" s="103"/>
      <c r="FK275" s="103"/>
      <c r="FL275" s="103"/>
      <c r="FM275" s="103"/>
      <c r="FN275" s="103"/>
      <c r="FO275" s="103"/>
      <c r="FP275" s="103"/>
      <c r="FQ275" s="103"/>
      <c r="FR275" s="103"/>
      <c r="FS275" s="103"/>
      <c r="FT275" s="103"/>
      <c r="FU275" s="103"/>
      <c r="FV275" s="103"/>
      <c r="FW275" s="103"/>
      <c r="FX275" s="103"/>
      <c r="FY275" s="103"/>
      <c r="FZ275" s="103"/>
      <c r="GA275" s="103"/>
      <c r="GB275" s="103"/>
      <c r="GC275" s="103"/>
      <c r="GD275" s="103"/>
      <c r="GE275" s="103"/>
    </row>
    <row r="276" spans="1:187" s="60" customFormat="1" ht="27" customHeight="1">
      <c r="A276" s="40" t="s">
        <v>751</v>
      </c>
      <c r="B276" s="54" t="s">
        <v>716</v>
      </c>
      <c r="C276" s="29" t="s">
        <v>366</v>
      </c>
      <c r="D276" s="220">
        <f>G276</f>
        <v>0</v>
      </c>
      <c r="E276" s="55"/>
      <c r="F276" s="55"/>
      <c r="G276" s="55">
        <f>G287</f>
        <v>0</v>
      </c>
      <c r="H276" s="55"/>
      <c r="I276" s="55"/>
      <c r="J276" s="124"/>
      <c r="K276" s="107"/>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3"/>
      <c r="AO276" s="103"/>
      <c r="AP276" s="103"/>
      <c r="AQ276" s="103"/>
      <c r="AR276" s="103"/>
      <c r="AS276" s="103"/>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3"/>
      <c r="BU276" s="103"/>
      <c r="BV276" s="103"/>
      <c r="BW276" s="103"/>
      <c r="BX276" s="103"/>
      <c r="BY276" s="103"/>
      <c r="BZ276" s="10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c r="CX276" s="103"/>
      <c r="CY276" s="103"/>
      <c r="CZ276" s="103"/>
      <c r="DA276" s="103"/>
      <c r="DB276" s="103"/>
      <c r="DC276" s="103"/>
      <c r="DD276" s="103"/>
      <c r="DE276" s="103"/>
      <c r="DF276" s="103"/>
      <c r="DG276" s="103"/>
      <c r="DH276" s="103"/>
      <c r="DI276" s="103"/>
      <c r="DJ276" s="103"/>
      <c r="DK276" s="103"/>
      <c r="DL276" s="103"/>
      <c r="DM276" s="103"/>
      <c r="DN276" s="103"/>
      <c r="DO276" s="103"/>
      <c r="DP276" s="103"/>
      <c r="DQ276" s="103"/>
      <c r="DR276" s="103"/>
      <c r="DS276" s="103"/>
      <c r="DT276" s="103"/>
      <c r="DU276" s="103"/>
      <c r="DV276" s="103"/>
      <c r="DW276" s="103"/>
      <c r="DX276" s="103"/>
      <c r="DY276" s="103"/>
      <c r="DZ276" s="103"/>
      <c r="EA276" s="103"/>
      <c r="EB276" s="103"/>
      <c r="EC276" s="103"/>
      <c r="ED276" s="103"/>
      <c r="EE276" s="103"/>
      <c r="EF276" s="103"/>
      <c r="EG276" s="103"/>
      <c r="EH276" s="103"/>
      <c r="EI276" s="103"/>
      <c r="EJ276" s="103"/>
      <c r="EK276" s="103"/>
      <c r="EL276" s="103"/>
      <c r="EM276" s="103"/>
      <c r="EN276" s="103"/>
      <c r="EO276" s="103"/>
      <c r="EP276" s="103"/>
      <c r="EQ276" s="103"/>
      <c r="ER276" s="103"/>
      <c r="ES276" s="103"/>
      <c r="ET276" s="103"/>
      <c r="EU276" s="103"/>
      <c r="EV276" s="103"/>
      <c r="EW276" s="103"/>
      <c r="EX276" s="103"/>
      <c r="EY276" s="103"/>
      <c r="EZ276" s="103"/>
      <c r="FA276" s="103"/>
      <c r="FB276" s="103"/>
      <c r="FC276" s="103"/>
      <c r="FD276" s="103"/>
      <c r="FE276" s="103"/>
      <c r="FF276" s="103"/>
      <c r="FG276" s="103"/>
      <c r="FH276" s="103"/>
      <c r="FI276" s="103"/>
      <c r="FJ276" s="103"/>
      <c r="FK276" s="103"/>
      <c r="FL276" s="103"/>
      <c r="FM276" s="103"/>
      <c r="FN276" s="103"/>
      <c r="FO276" s="103"/>
      <c r="FP276" s="103"/>
      <c r="FQ276" s="103"/>
      <c r="FR276" s="103"/>
      <c r="FS276" s="103"/>
      <c r="FT276" s="103"/>
      <c r="FU276" s="103"/>
      <c r="FV276" s="103"/>
      <c r="FW276" s="103"/>
      <c r="FX276" s="103"/>
      <c r="FY276" s="103"/>
      <c r="FZ276" s="103"/>
      <c r="GA276" s="103"/>
      <c r="GB276" s="103"/>
      <c r="GC276" s="103"/>
      <c r="GD276" s="103"/>
      <c r="GE276" s="103"/>
    </row>
    <row r="277" spans="1:187" s="60" customFormat="1" ht="16.5" customHeight="1">
      <c r="A277" s="40" t="s">
        <v>679</v>
      </c>
      <c r="B277" s="54" t="s">
        <v>717</v>
      </c>
      <c r="C277" s="29" t="s">
        <v>366</v>
      </c>
      <c r="D277" s="220">
        <f>G277</f>
        <v>0</v>
      </c>
      <c r="E277" s="55"/>
      <c r="F277" s="55"/>
      <c r="G277" s="55">
        <f>G288</f>
        <v>0</v>
      </c>
      <c r="H277" s="55"/>
      <c r="I277" s="55"/>
      <c r="J277" s="124"/>
      <c r="K277" s="107"/>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3"/>
      <c r="AL277" s="103"/>
      <c r="AM277" s="103"/>
      <c r="AN277" s="103"/>
      <c r="AO277" s="103"/>
      <c r="AP277" s="103"/>
      <c r="AQ277" s="103"/>
      <c r="AR277" s="103"/>
      <c r="AS277" s="10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3"/>
      <c r="BU277" s="103"/>
      <c r="BV277" s="103"/>
      <c r="BW277" s="103"/>
      <c r="BX277" s="103"/>
      <c r="BY277" s="103"/>
      <c r="BZ277" s="10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c r="CX277" s="103"/>
      <c r="CY277" s="103"/>
      <c r="CZ277" s="103"/>
      <c r="DA277" s="103"/>
      <c r="DB277" s="103"/>
      <c r="DC277" s="103"/>
      <c r="DD277" s="103"/>
      <c r="DE277" s="103"/>
      <c r="DF277" s="103"/>
      <c r="DG277" s="103"/>
      <c r="DH277" s="103"/>
      <c r="DI277" s="103"/>
      <c r="DJ277" s="103"/>
      <c r="DK277" s="103"/>
      <c r="DL277" s="103"/>
      <c r="DM277" s="103"/>
      <c r="DN277" s="103"/>
      <c r="DO277" s="103"/>
      <c r="DP277" s="103"/>
      <c r="DQ277" s="103"/>
      <c r="DR277" s="103"/>
      <c r="DS277" s="103"/>
      <c r="DT277" s="103"/>
      <c r="DU277" s="103"/>
      <c r="DV277" s="103"/>
      <c r="DW277" s="103"/>
      <c r="DX277" s="103"/>
      <c r="DY277" s="103"/>
      <c r="DZ277" s="103"/>
      <c r="EA277" s="103"/>
      <c r="EB277" s="103"/>
      <c r="EC277" s="103"/>
      <c r="ED277" s="103"/>
      <c r="EE277" s="103"/>
      <c r="EF277" s="103"/>
      <c r="EG277" s="103"/>
      <c r="EH277" s="103"/>
      <c r="EI277" s="103"/>
      <c r="EJ277" s="103"/>
      <c r="EK277" s="103"/>
      <c r="EL277" s="103"/>
      <c r="EM277" s="103"/>
      <c r="EN277" s="103"/>
      <c r="EO277" s="103"/>
      <c r="EP277" s="103"/>
      <c r="EQ277" s="103"/>
      <c r="ER277" s="103"/>
      <c r="ES277" s="103"/>
      <c r="ET277" s="103"/>
      <c r="EU277" s="103"/>
      <c r="EV277" s="103"/>
      <c r="EW277" s="103"/>
      <c r="EX277" s="103"/>
      <c r="EY277" s="103"/>
      <c r="EZ277" s="103"/>
      <c r="FA277" s="103"/>
      <c r="FB277" s="103"/>
      <c r="FC277" s="103"/>
      <c r="FD277" s="103"/>
      <c r="FE277" s="103"/>
      <c r="FF277" s="103"/>
      <c r="FG277" s="103"/>
      <c r="FH277" s="103"/>
      <c r="FI277" s="103"/>
      <c r="FJ277" s="103"/>
      <c r="FK277" s="103"/>
      <c r="FL277" s="103"/>
      <c r="FM277" s="103"/>
      <c r="FN277" s="103"/>
      <c r="FO277" s="103"/>
      <c r="FP277" s="103"/>
      <c r="FQ277" s="103"/>
      <c r="FR277" s="103"/>
      <c r="FS277" s="103"/>
      <c r="FT277" s="103"/>
      <c r="FU277" s="103"/>
      <c r="FV277" s="103"/>
      <c r="FW277" s="103"/>
      <c r="FX277" s="103"/>
      <c r="FY277" s="103"/>
      <c r="FZ277" s="103"/>
      <c r="GA277" s="103"/>
      <c r="GB277" s="103"/>
      <c r="GC277" s="103"/>
      <c r="GD277" s="103"/>
      <c r="GE277" s="103"/>
    </row>
    <row r="278" spans="1:187" s="60" customFormat="1" ht="16.5" customHeight="1">
      <c r="A278" s="40" t="s">
        <v>680</v>
      </c>
      <c r="B278" s="54" t="s">
        <v>718</v>
      </c>
      <c r="C278" s="29" t="s">
        <v>366</v>
      </c>
      <c r="D278" s="220">
        <f>G278</f>
        <v>0</v>
      </c>
      <c r="E278" s="55"/>
      <c r="F278" s="55"/>
      <c r="G278" s="55">
        <f>G327</f>
        <v>0</v>
      </c>
      <c r="H278" s="55"/>
      <c r="I278" s="55"/>
      <c r="J278" s="124"/>
      <c r="K278" s="107"/>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103"/>
      <c r="AQ278" s="103"/>
      <c r="AR278" s="103"/>
      <c r="AS278" s="103"/>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3"/>
      <c r="BU278" s="103"/>
      <c r="BV278" s="103"/>
      <c r="BW278" s="103"/>
      <c r="BX278" s="103"/>
      <c r="BY278" s="103"/>
      <c r="BZ278" s="10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c r="CX278" s="103"/>
      <c r="CY278" s="103"/>
      <c r="CZ278" s="103"/>
      <c r="DA278" s="103"/>
      <c r="DB278" s="103"/>
      <c r="DC278" s="103"/>
      <c r="DD278" s="103"/>
      <c r="DE278" s="103"/>
      <c r="DF278" s="103"/>
      <c r="DG278" s="103"/>
      <c r="DH278" s="103"/>
      <c r="DI278" s="103"/>
      <c r="DJ278" s="103"/>
      <c r="DK278" s="103"/>
      <c r="DL278" s="103"/>
      <c r="DM278" s="103"/>
      <c r="DN278" s="103"/>
      <c r="DO278" s="103"/>
      <c r="DP278" s="103"/>
      <c r="DQ278" s="103"/>
      <c r="DR278" s="103"/>
      <c r="DS278" s="103"/>
      <c r="DT278" s="103"/>
      <c r="DU278" s="103"/>
      <c r="DV278" s="103"/>
      <c r="DW278" s="103"/>
      <c r="DX278" s="103"/>
      <c r="DY278" s="103"/>
      <c r="DZ278" s="103"/>
      <c r="EA278" s="103"/>
      <c r="EB278" s="103"/>
      <c r="EC278" s="103"/>
      <c r="ED278" s="103"/>
      <c r="EE278" s="103"/>
      <c r="EF278" s="103"/>
      <c r="EG278" s="103"/>
      <c r="EH278" s="103"/>
      <c r="EI278" s="103"/>
      <c r="EJ278" s="103"/>
      <c r="EK278" s="103"/>
      <c r="EL278" s="103"/>
      <c r="EM278" s="103"/>
      <c r="EN278" s="103"/>
      <c r="EO278" s="103"/>
      <c r="EP278" s="103"/>
      <c r="EQ278" s="103"/>
      <c r="ER278" s="103"/>
      <c r="ES278" s="103"/>
      <c r="ET278" s="103"/>
      <c r="EU278" s="103"/>
      <c r="EV278" s="103"/>
      <c r="EW278" s="103"/>
      <c r="EX278" s="103"/>
      <c r="EY278" s="103"/>
      <c r="EZ278" s="103"/>
      <c r="FA278" s="103"/>
      <c r="FB278" s="103"/>
      <c r="FC278" s="103"/>
      <c r="FD278" s="103"/>
      <c r="FE278" s="103"/>
      <c r="FF278" s="103"/>
      <c r="FG278" s="103"/>
      <c r="FH278" s="103"/>
      <c r="FI278" s="103"/>
      <c r="FJ278" s="103"/>
      <c r="FK278" s="103"/>
      <c r="FL278" s="103"/>
      <c r="FM278" s="103"/>
      <c r="FN278" s="103"/>
      <c r="FO278" s="103"/>
      <c r="FP278" s="103"/>
      <c r="FQ278" s="103"/>
      <c r="FR278" s="103"/>
      <c r="FS278" s="103"/>
      <c r="FT278" s="103"/>
      <c r="FU278" s="103"/>
      <c r="FV278" s="103"/>
      <c r="FW278" s="103"/>
      <c r="FX278" s="103"/>
      <c r="FY278" s="103"/>
      <c r="FZ278" s="103"/>
      <c r="GA278" s="103"/>
      <c r="GB278" s="103"/>
      <c r="GC278" s="103"/>
      <c r="GD278" s="103"/>
      <c r="GE278" s="103"/>
    </row>
    <row r="279" spans="1:10" ht="15">
      <c r="A279" s="40" t="s">
        <v>291</v>
      </c>
      <c r="B279" s="54" t="s">
        <v>724</v>
      </c>
      <c r="C279" s="29" t="s">
        <v>366</v>
      </c>
      <c r="D279" s="220">
        <f>SUM(E279:J279)</f>
        <v>1000</v>
      </c>
      <c r="E279" s="55"/>
      <c r="F279" s="55"/>
      <c r="G279" s="55"/>
      <c r="H279" s="55">
        <v>1000</v>
      </c>
      <c r="I279" s="55"/>
      <c r="J279" s="124"/>
    </row>
    <row r="280" spans="1:10" ht="15">
      <c r="A280" s="37" t="s">
        <v>105</v>
      </c>
      <c r="B280" s="33" t="s">
        <v>103</v>
      </c>
      <c r="C280" s="34">
        <v>180</v>
      </c>
      <c r="D280" s="220"/>
      <c r="E280" s="35"/>
      <c r="F280" s="35"/>
      <c r="G280" s="35"/>
      <c r="H280" s="35"/>
      <c r="I280" s="35"/>
      <c r="J280" s="122"/>
    </row>
    <row r="281" spans="1:10" ht="15" hidden="1">
      <c r="A281" s="36" t="s">
        <v>293</v>
      </c>
      <c r="B281" s="30"/>
      <c r="C281" s="28" t="s">
        <v>367</v>
      </c>
      <c r="D281" s="220"/>
      <c r="E281" s="31"/>
      <c r="F281" s="31"/>
      <c r="G281" s="38"/>
      <c r="H281" s="31"/>
      <c r="I281" s="31"/>
      <c r="J281" s="123"/>
    </row>
    <row r="282" spans="1:10" ht="15" hidden="1">
      <c r="A282" s="37" t="s">
        <v>108</v>
      </c>
      <c r="B282" s="33" t="s">
        <v>109</v>
      </c>
      <c r="C282" s="34"/>
      <c r="D282" s="220"/>
      <c r="E282" s="35"/>
      <c r="F282" s="35"/>
      <c r="G282" s="35"/>
      <c r="H282" s="35"/>
      <c r="I282" s="35"/>
      <c r="J282" s="122"/>
    </row>
    <row r="283" spans="1:10" ht="15" hidden="1">
      <c r="A283" s="39" t="s">
        <v>292</v>
      </c>
      <c r="B283" s="54"/>
      <c r="C283" s="29"/>
      <c r="D283" s="220"/>
      <c r="E283" s="55"/>
      <c r="F283" s="55"/>
      <c r="G283" s="55"/>
      <c r="H283" s="55"/>
      <c r="I283" s="55"/>
      <c r="J283" s="124"/>
    </row>
    <row r="284" spans="1:10" ht="15" hidden="1">
      <c r="A284" s="36" t="s">
        <v>295</v>
      </c>
      <c r="B284" s="30" t="s">
        <v>110</v>
      </c>
      <c r="C284" s="28" t="s">
        <v>35</v>
      </c>
      <c r="D284" s="220"/>
      <c r="E284" s="31"/>
      <c r="F284" s="31"/>
      <c r="G284" s="31"/>
      <c r="H284" s="31"/>
      <c r="I284" s="31"/>
      <c r="J284" s="123"/>
    </row>
    <row r="285" spans="1:10" ht="15" hidden="1">
      <c r="A285" s="40" t="s">
        <v>296</v>
      </c>
      <c r="B285" s="54"/>
      <c r="C285" s="29"/>
      <c r="D285" s="220"/>
      <c r="E285" s="55"/>
      <c r="F285" s="55"/>
      <c r="G285" s="55"/>
      <c r="H285" s="55"/>
      <c r="I285" s="55"/>
      <c r="J285" s="124"/>
    </row>
    <row r="286" spans="1:10" ht="30.75" hidden="1">
      <c r="A286" s="37" t="s">
        <v>173</v>
      </c>
      <c r="B286" s="33" t="s">
        <v>112</v>
      </c>
      <c r="C286" s="34">
        <v>510</v>
      </c>
      <c r="D286" s="220"/>
      <c r="E286" s="35"/>
      <c r="F286" s="35"/>
      <c r="G286" s="35"/>
      <c r="H286" s="35"/>
      <c r="I286" s="35"/>
      <c r="J286" s="122"/>
    </row>
    <row r="287" spans="1:10" ht="15">
      <c r="A287" s="90" t="s">
        <v>115</v>
      </c>
      <c r="B287" s="41" t="s">
        <v>117</v>
      </c>
      <c r="C287" s="42" t="s">
        <v>35</v>
      </c>
      <c r="D287" s="219">
        <f>SUM(E287:J287)</f>
        <v>75029605.32341999</v>
      </c>
      <c r="E287" s="43">
        <f>E288+E304+E313</f>
        <v>14000000.003419999</v>
      </c>
      <c r="F287" s="43">
        <f>F288+F304+F313</f>
        <v>60772920</v>
      </c>
      <c r="G287" s="43">
        <f>G288+G313</f>
        <v>0</v>
      </c>
      <c r="H287" s="43">
        <f>H288+H304+H313</f>
        <v>256685.32</v>
      </c>
      <c r="I287" s="43"/>
      <c r="J287" s="44"/>
    </row>
    <row r="288" spans="1:10" ht="34.5" customHeight="1">
      <c r="A288" s="91" t="s">
        <v>762</v>
      </c>
      <c r="B288" s="66" t="s">
        <v>118</v>
      </c>
      <c r="C288" s="67" t="s">
        <v>35</v>
      </c>
      <c r="D288" s="220">
        <f>SUM(E288:J288)</f>
        <v>63545788.003419995</v>
      </c>
      <c r="E288" s="68">
        <f>E290+E295+E296</f>
        <v>9073788.003419999</v>
      </c>
      <c r="F288" s="68">
        <f>F290+F295+F296</f>
        <v>54472000</v>
      </c>
      <c r="G288" s="68">
        <f>G290+G296</f>
        <v>0</v>
      </c>
      <c r="H288" s="68"/>
      <c r="I288" s="68"/>
      <c r="J288" s="47"/>
    </row>
    <row r="289" spans="1:10" ht="15" hidden="1">
      <c r="A289" s="73" t="s">
        <v>111</v>
      </c>
      <c r="B289" s="45"/>
      <c r="C289" s="46"/>
      <c r="D289" s="220"/>
      <c r="E289" s="47"/>
      <c r="F289" s="47"/>
      <c r="G289" s="47"/>
      <c r="H289" s="47"/>
      <c r="I289" s="47"/>
      <c r="J289" s="47"/>
    </row>
    <row r="290" spans="1:10" ht="30.75">
      <c r="A290" s="73" t="s">
        <v>763</v>
      </c>
      <c r="B290" s="45" t="s">
        <v>119</v>
      </c>
      <c r="C290" s="49" t="s">
        <v>35</v>
      </c>
      <c r="D290" s="220">
        <f>SUM(E290:J290)</f>
        <v>48806288.79</v>
      </c>
      <c r="E290" s="47">
        <f>'Местный бюджет'!H470</f>
        <v>6969115.21</v>
      </c>
      <c r="F290" s="47">
        <f>'Областной бюджет'!H401</f>
        <v>41837173.58</v>
      </c>
      <c r="G290" s="47">
        <f>G294</f>
        <v>0</v>
      </c>
      <c r="H290" s="47"/>
      <c r="I290" s="47"/>
      <c r="J290" s="47"/>
    </row>
    <row r="291" spans="1:10" ht="15" hidden="1">
      <c r="A291" s="313" t="s">
        <v>526</v>
      </c>
      <c r="B291" s="45" t="s">
        <v>119</v>
      </c>
      <c r="C291" s="46" t="s">
        <v>368</v>
      </c>
      <c r="D291" s="220">
        <f>SUM(E291:J291)</f>
        <v>0</v>
      </c>
      <c r="E291" s="47">
        <f>'Местный бюджет'!H471</f>
        <v>0</v>
      </c>
      <c r="F291" s="47">
        <f>'Областной бюджет'!H402</f>
        <v>0</v>
      </c>
      <c r="G291" s="47">
        <f>'Иные цели'!G822</f>
        <v>0</v>
      </c>
      <c r="H291" s="47"/>
      <c r="I291" s="47"/>
      <c r="J291" s="47"/>
    </row>
    <row r="292" spans="1:187" s="429" customFormat="1" ht="30.75">
      <c r="A292" s="73" t="s">
        <v>764</v>
      </c>
      <c r="B292" s="45" t="s">
        <v>726</v>
      </c>
      <c r="C292" s="49"/>
      <c r="D292" s="220">
        <f>SUM(E292:J292)</f>
        <v>48806288.79</v>
      </c>
      <c r="E292" s="47">
        <f>E290</f>
        <v>6969115.21</v>
      </c>
      <c r="F292" s="47">
        <f>F290</f>
        <v>41837173.58</v>
      </c>
      <c r="G292" s="47">
        <f>G290</f>
        <v>0</v>
      </c>
      <c r="H292" s="47"/>
      <c r="I292" s="47"/>
      <c r="J292" s="47"/>
      <c r="K292" s="430"/>
      <c r="L292" s="430"/>
      <c r="M292" s="430"/>
      <c r="N292" s="430"/>
      <c r="O292" s="430"/>
      <c r="P292" s="430"/>
      <c r="Q292" s="430"/>
      <c r="R292" s="430"/>
      <c r="S292" s="430"/>
      <c r="T292" s="430"/>
      <c r="U292" s="430"/>
      <c r="V292" s="430"/>
      <c r="W292" s="430"/>
      <c r="X292" s="430"/>
      <c r="Y292" s="430"/>
      <c r="Z292" s="430"/>
      <c r="AA292" s="430"/>
      <c r="AB292" s="430"/>
      <c r="AC292" s="430"/>
      <c r="AD292" s="430"/>
      <c r="AE292" s="430"/>
      <c r="AF292" s="430"/>
      <c r="AG292" s="430"/>
      <c r="AH292" s="430"/>
      <c r="AI292" s="430"/>
      <c r="AJ292" s="430"/>
      <c r="AK292" s="430"/>
      <c r="AL292" s="430"/>
      <c r="AM292" s="430"/>
      <c r="AN292" s="430"/>
      <c r="AO292" s="430"/>
      <c r="AP292" s="430"/>
      <c r="AQ292" s="430"/>
      <c r="AR292" s="430"/>
      <c r="AS292" s="430"/>
      <c r="AT292" s="430"/>
      <c r="AU292" s="430"/>
      <c r="AV292" s="430"/>
      <c r="AW292" s="430"/>
      <c r="AX292" s="430"/>
      <c r="AY292" s="430"/>
      <c r="AZ292" s="430"/>
      <c r="BA292" s="430"/>
      <c r="BB292" s="430"/>
      <c r="BC292" s="430"/>
      <c r="BD292" s="430"/>
      <c r="BE292" s="430"/>
      <c r="BF292" s="430"/>
      <c r="BG292" s="430"/>
      <c r="BH292" s="430"/>
      <c r="BI292" s="430"/>
      <c r="BJ292" s="430"/>
      <c r="BK292" s="430"/>
      <c r="BL292" s="430"/>
      <c r="BM292" s="430"/>
      <c r="BN292" s="430"/>
      <c r="BO292" s="430"/>
      <c r="BP292" s="430"/>
      <c r="BQ292" s="430"/>
      <c r="BR292" s="430"/>
      <c r="BS292" s="430"/>
      <c r="BT292" s="430"/>
      <c r="BU292" s="430"/>
      <c r="BV292" s="430"/>
      <c r="BW292" s="430"/>
      <c r="BX292" s="430"/>
      <c r="BY292" s="430"/>
      <c r="BZ292" s="430"/>
      <c r="CA292" s="430"/>
      <c r="CB292" s="430"/>
      <c r="CC292" s="430"/>
      <c r="CD292" s="430"/>
      <c r="CE292" s="430"/>
      <c r="CF292" s="430"/>
      <c r="CG292" s="430"/>
      <c r="CH292" s="430"/>
      <c r="CI292" s="430"/>
      <c r="CJ292" s="430"/>
      <c r="CK292" s="430"/>
      <c r="CL292" s="430"/>
      <c r="CM292" s="430"/>
      <c r="CN292" s="430"/>
      <c r="CO292" s="430"/>
      <c r="CP292" s="430"/>
      <c r="CQ292" s="430"/>
      <c r="CR292" s="430"/>
      <c r="CS292" s="430"/>
      <c r="CT292" s="430"/>
      <c r="CU292" s="430"/>
      <c r="CV292" s="430"/>
      <c r="CW292" s="430"/>
      <c r="CX292" s="430"/>
      <c r="CY292" s="430"/>
      <c r="CZ292" s="430"/>
      <c r="DA292" s="430"/>
      <c r="DB292" s="430"/>
      <c r="DC292" s="430"/>
      <c r="DD292" s="430"/>
      <c r="DE292" s="430"/>
      <c r="DF292" s="430"/>
      <c r="DG292" s="430"/>
      <c r="DH292" s="430"/>
      <c r="DI292" s="430"/>
      <c r="DJ292" s="430"/>
      <c r="DK292" s="430"/>
      <c r="DL292" s="430"/>
      <c r="DM292" s="430"/>
      <c r="DN292" s="430"/>
      <c r="DO292" s="430"/>
      <c r="DP292" s="430"/>
      <c r="DQ292" s="430"/>
      <c r="DR292" s="430"/>
      <c r="DS292" s="430"/>
      <c r="DT292" s="430"/>
      <c r="DU292" s="430"/>
      <c r="DV292" s="430"/>
      <c r="DW292" s="430"/>
      <c r="DX292" s="430"/>
      <c r="DY292" s="430"/>
      <c r="DZ292" s="430"/>
      <c r="EA292" s="430"/>
      <c r="EB292" s="430"/>
      <c r="EC292" s="430"/>
      <c r="ED292" s="430"/>
      <c r="EE292" s="430"/>
      <c r="EF292" s="430"/>
      <c r="EG292" s="430"/>
      <c r="EH292" s="430"/>
      <c r="EI292" s="430"/>
      <c r="EJ292" s="430"/>
      <c r="EK292" s="430"/>
      <c r="EL292" s="430"/>
      <c r="EM292" s="430"/>
      <c r="EN292" s="430"/>
      <c r="EO292" s="430"/>
      <c r="EP292" s="430"/>
      <c r="EQ292" s="430"/>
      <c r="ER292" s="430"/>
      <c r="ES292" s="430"/>
      <c r="ET292" s="430"/>
      <c r="EU292" s="430"/>
      <c r="EV292" s="430"/>
      <c r="EW292" s="430"/>
      <c r="EX292" s="430"/>
      <c r="EY292" s="430"/>
      <c r="EZ292" s="430"/>
      <c r="FA292" s="430"/>
      <c r="FB292" s="430"/>
      <c r="FC292" s="430"/>
      <c r="FD292" s="430"/>
      <c r="FE292" s="430"/>
      <c r="FF292" s="430"/>
      <c r="FG292" s="430"/>
      <c r="FH292" s="430"/>
      <c r="FI292" s="430"/>
      <c r="FJ292" s="430"/>
      <c r="FK292" s="430"/>
      <c r="FL292" s="430"/>
      <c r="FM292" s="430"/>
      <c r="FN292" s="430"/>
      <c r="FO292" s="430"/>
      <c r="FP292" s="430"/>
      <c r="FQ292" s="430"/>
      <c r="FR292" s="430"/>
      <c r="FS292" s="430"/>
      <c r="FT292" s="430"/>
      <c r="FU292" s="430"/>
      <c r="FV292" s="430"/>
      <c r="FW292" s="430"/>
      <c r="FX292" s="430"/>
      <c r="FY292" s="430"/>
      <c r="FZ292" s="430"/>
      <c r="GA292" s="430"/>
      <c r="GB292" s="430"/>
      <c r="GC292" s="430"/>
      <c r="GD292" s="430"/>
      <c r="GE292" s="430"/>
    </row>
    <row r="293" spans="1:187" s="429" customFormat="1" ht="30.75">
      <c r="A293" s="73" t="s">
        <v>765</v>
      </c>
      <c r="B293" s="45"/>
      <c r="C293" s="49" t="s">
        <v>368</v>
      </c>
      <c r="D293" s="220">
        <f>SUM(E293:J293)</f>
        <v>48806288.79</v>
      </c>
      <c r="E293" s="47">
        <f>E290</f>
        <v>6969115.21</v>
      </c>
      <c r="F293" s="47">
        <f>F290</f>
        <v>41837173.58</v>
      </c>
      <c r="G293" s="47"/>
      <c r="H293" s="47"/>
      <c r="I293" s="47"/>
      <c r="J293" s="47"/>
      <c r="K293" s="430"/>
      <c r="L293" s="430"/>
      <c r="M293" s="430"/>
      <c r="N293" s="430"/>
      <c r="O293" s="430"/>
      <c r="P293" s="430"/>
      <c r="Q293" s="430"/>
      <c r="R293" s="430"/>
      <c r="S293" s="430"/>
      <c r="T293" s="430"/>
      <c r="U293" s="430"/>
      <c r="V293" s="430"/>
      <c r="W293" s="430"/>
      <c r="X293" s="430"/>
      <c r="Y293" s="430"/>
      <c r="Z293" s="430"/>
      <c r="AA293" s="430"/>
      <c r="AB293" s="430"/>
      <c r="AC293" s="430"/>
      <c r="AD293" s="430"/>
      <c r="AE293" s="430"/>
      <c r="AF293" s="430"/>
      <c r="AG293" s="430"/>
      <c r="AH293" s="430"/>
      <c r="AI293" s="430"/>
      <c r="AJ293" s="430"/>
      <c r="AK293" s="430"/>
      <c r="AL293" s="430"/>
      <c r="AM293" s="430"/>
      <c r="AN293" s="430"/>
      <c r="AO293" s="430"/>
      <c r="AP293" s="430"/>
      <c r="AQ293" s="430"/>
      <c r="AR293" s="430"/>
      <c r="AS293" s="430"/>
      <c r="AT293" s="430"/>
      <c r="AU293" s="430"/>
      <c r="AV293" s="430"/>
      <c r="AW293" s="430"/>
      <c r="AX293" s="430"/>
      <c r="AY293" s="430"/>
      <c r="AZ293" s="430"/>
      <c r="BA293" s="430"/>
      <c r="BB293" s="430"/>
      <c r="BC293" s="430"/>
      <c r="BD293" s="430"/>
      <c r="BE293" s="430"/>
      <c r="BF293" s="430"/>
      <c r="BG293" s="430"/>
      <c r="BH293" s="430"/>
      <c r="BI293" s="430"/>
      <c r="BJ293" s="430"/>
      <c r="BK293" s="430"/>
      <c r="BL293" s="430"/>
      <c r="BM293" s="430"/>
      <c r="BN293" s="430"/>
      <c r="BO293" s="430"/>
      <c r="BP293" s="430"/>
      <c r="BQ293" s="430"/>
      <c r="BR293" s="430"/>
      <c r="BS293" s="430"/>
      <c r="BT293" s="430"/>
      <c r="BU293" s="430"/>
      <c r="BV293" s="430"/>
      <c r="BW293" s="430"/>
      <c r="BX293" s="430"/>
      <c r="BY293" s="430"/>
      <c r="BZ293" s="430"/>
      <c r="CA293" s="430"/>
      <c r="CB293" s="430"/>
      <c r="CC293" s="430"/>
      <c r="CD293" s="430"/>
      <c r="CE293" s="430"/>
      <c r="CF293" s="430"/>
      <c r="CG293" s="430"/>
      <c r="CH293" s="430"/>
      <c r="CI293" s="430"/>
      <c r="CJ293" s="430"/>
      <c r="CK293" s="430"/>
      <c r="CL293" s="430"/>
      <c r="CM293" s="430"/>
      <c r="CN293" s="430"/>
      <c r="CO293" s="430"/>
      <c r="CP293" s="430"/>
      <c r="CQ293" s="430"/>
      <c r="CR293" s="430"/>
      <c r="CS293" s="430"/>
      <c r="CT293" s="430"/>
      <c r="CU293" s="430"/>
      <c r="CV293" s="430"/>
      <c r="CW293" s="430"/>
      <c r="CX293" s="430"/>
      <c r="CY293" s="430"/>
      <c r="CZ293" s="430"/>
      <c r="DA293" s="430"/>
      <c r="DB293" s="430"/>
      <c r="DC293" s="430"/>
      <c r="DD293" s="430"/>
      <c r="DE293" s="430"/>
      <c r="DF293" s="430"/>
      <c r="DG293" s="430"/>
      <c r="DH293" s="430"/>
      <c r="DI293" s="430"/>
      <c r="DJ293" s="430"/>
      <c r="DK293" s="430"/>
      <c r="DL293" s="430"/>
      <c r="DM293" s="430"/>
      <c r="DN293" s="430"/>
      <c r="DO293" s="430"/>
      <c r="DP293" s="430"/>
      <c r="DQ293" s="430"/>
      <c r="DR293" s="430"/>
      <c r="DS293" s="430"/>
      <c r="DT293" s="430"/>
      <c r="DU293" s="430"/>
      <c r="DV293" s="430"/>
      <c r="DW293" s="430"/>
      <c r="DX293" s="430"/>
      <c r="DY293" s="430"/>
      <c r="DZ293" s="430"/>
      <c r="EA293" s="430"/>
      <c r="EB293" s="430"/>
      <c r="EC293" s="430"/>
      <c r="ED293" s="430"/>
      <c r="EE293" s="430"/>
      <c r="EF293" s="430"/>
      <c r="EG293" s="430"/>
      <c r="EH293" s="430"/>
      <c r="EI293" s="430"/>
      <c r="EJ293" s="430"/>
      <c r="EK293" s="430"/>
      <c r="EL293" s="430"/>
      <c r="EM293" s="430"/>
      <c r="EN293" s="430"/>
      <c r="EO293" s="430"/>
      <c r="EP293" s="430"/>
      <c r="EQ293" s="430"/>
      <c r="ER293" s="430"/>
      <c r="ES293" s="430"/>
      <c r="ET293" s="430"/>
      <c r="EU293" s="430"/>
      <c r="EV293" s="430"/>
      <c r="EW293" s="430"/>
      <c r="EX293" s="430"/>
      <c r="EY293" s="430"/>
      <c r="EZ293" s="430"/>
      <c r="FA293" s="430"/>
      <c r="FB293" s="430"/>
      <c r="FC293" s="430"/>
      <c r="FD293" s="430"/>
      <c r="FE293" s="430"/>
      <c r="FF293" s="430"/>
      <c r="FG293" s="430"/>
      <c r="FH293" s="430"/>
      <c r="FI293" s="430"/>
      <c r="FJ293" s="430"/>
      <c r="FK293" s="430"/>
      <c r="FL293" s="430"/>
      <c r="FM293" s="430"/>
      <c r="FN293" s="430"/>
      <c r="FO293" s="430"/>
      <c r="FP293" s="430"/>
      <c r="FQ293" s="430"/>
      <c r="FR293" s="430"/>
      <c r="FS293" s="430"/>
      <c r="FT293" s="430"/>
      <c r="FU293" s="430"/>
      <c r="FV293" s="430"/>
      <c r="FW293" s="430"/>
      <c r="FX293" s="430"/>
      <c r="FY293" s="430"/>
      <c r="FZ293" s="430"/>
      <c r="GA293" s="430"/>
      <c r="GB293" s="430"/>
      <c r="GC293" s="430"/>
      <c r="GD293" s="430"/>
      <c r="GE293" s="430"/>
    </row>
    <row r="294" spans="1:187" s="1" customFormat="1" ht="16.5" customHeight="1">
      <c r="A294" s="352" t="s">
        <v>688</v>
      </c>
      <c r="B294" s="51"/>
      <c r="C294" s="53" t="s">
        <v>578</v>
      </c>
      <c r="D294" s="220">
        <f>G294</f>
        <v>0</v>
      </c>
      <c r="E294" s="47"/>
      <c r="F294" s="47"/>
      <c r="G294" s="304">
        <f>'Иные цели'!G821</f>
        <v>0</v>
      </c>
      <c r="H294" s="47"/>
      <c r="I294" s="47"/>
      <c r="J294" s="47"/>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c r="AZ294" s="72"/>
      <c r="BA294" s="72"/>
      <c r="BB294" s="72"/>
      <c r="BC294" s="72"/>
      <c r="BD294" s="72"/>
      <c r="BE294" s="72"/>
      <c r="BF294" s="72"/>
      <c r="BG294" s="72"/>
      <c r="BH294" s="72"/>
      <c r="BI294" s="72"/>
      <c r="BJ294" s="72"/>
      <c r="BK294" s="72"/>
      <c r="BL294" s="72"/>
      <c r="BM294" s="72"/>
      <c r="BN294" s="72"/>
      <c r="BO294" s="72"/>
      <c r="BP294" s="72"/>
      <c r="BQ294" s="72"/>
      <c r="BR294" s="72"/>
      <c r="BS294" s="72"/>
      <c r="BT294" s="72"/>
      <c r="BU294" s="72"/>
      <c r="BV294" s="72"/>
      <c r="BW294" s="72"/>
      <c r="BX294" s="72"/>
      <c r="BY294" s="72"/>
      <c r="BZ294" s="72"/>
      <c r="CA294" s="72"/>
      <c r="CB294" s="72"/>
      <c r="CC294" s="72"/>
      <c r="CD294" s="72"/>
      <c r="CE294" s="72"/>
      <c r="CF294" s="72"/>
      <c r="CG294" s="72"/>
      <c r="CH294" s="72"/>
      <c r="CI294" s="72"/>
      <c r="CJ294" s="72"/>
      <c r="CK294" s="72"/>
      <c r="CL294" s="72"/>
      <c r="CM294" s="72"/>
      <c r="CN294" s="72"/>
      <c r="CO294" s="72"/>
      <c r="CP294" s="72"/>
      <c r="CQ294" s="72"/>
      <c r="CR294" s="72"/>
      <c r="CS294" s="72"/>
      <c r="CT294" s="72"/>
      <c r="CU294" s="72"/>
      <c r="CV294" s="72"/>
      <c r="CW294" s="72"/>
      <c r="CX294" s="72"/>
      <c r="CY294" s="72"/>
      <c r="CZ294" s="72"/>
      <c r="DA294" s="72"/>
      <c r="DB294" s="72"/>
      <c r="DC294" s="72"/>
      <c r="DD294" s="72"/>
      <c r="DE294" s="72"/>
      <c r="DF294" s="72"/>
      <c r="DG294" s="72"/>
      <c r="DH294" s="72"/>
      <c r="DI294" s="72"/>
      <c r="DJ294" s="72"/>
      <c r="DK294" s="72"/>
      <c r="DL294" s="72"/>
      <c r="DM294" s="72"/>
      <c r="DN294" s="72"/>
      <c r="DO294" s="72"/>
      <c r="DP294" s="72"/>
      <c r="DQ294" s="72"/>
      <c r="DR294" s="72"/>
      <c r="DS294" s="72"/>
      <c r="DT294" s="72"/>
      <c r="DU294" s="72"/>
      <c r="DV294" s="72"/>
      <c r="DW294" s="72"/>
      <c r="DX294" s="72"/>
      <c r="DY294" s="72"/>
      <c r="DZ294" s="72"/>
      <c r="EA294" s="72"/>
      <c r="EB294" s="72"/>
      <c r="EC294" s="72"/>
      <c r="ED294" s="72"/>
      <c r="EE294" s="72"/>
      <c r="EF294" s="72"/>
      <c r="EG294" s="72"/>
      <c r="EH294" s="72"/>
      <c r="EI294" s="72"/>
      <c r="EJ294" s="72"/>
      <c r="EK294" s="72"/>
      <c r="EL294" s="72"/>
      <c r="EM294" s="72"/>
      <c r="EN294" s="72"/>
      <c r="EO294" s="72"/>
      <c r="EP294" s="72"/>
      <c r="EQ294" s="72"/>
      <c r="ER294" s="72"/>
      <c r="ES294" s="72"/>
      <c r="ET294" s="72"/>
      <c r="EU294" s="72"/>
      <c r="EV294" s="72"/>
      <c r="EW294" s="72"/>
      <c r="EX294" s="72"/>
      <c r="EY294" s="72"/>
      <c r="EZ294" s="72"/>
      <c r="FA294" s="72"/>
      <c r="FB294" s="72"/>
      <c r="FC294" s="72"/>
      <c r="FD294" s="72"/>
      <c r="FE294" s="72"/>
      <c r="FF294" s="72"/>
      <c r="FG294" s="72"/>
      <c r="FH294" s="72"/>
      <c r="FI294" s="72"/>
      <c r="FJ294" s="72"/>
      <c r="FK294" s="72"/>
      <c r="FL294" s="72"/>
      <c r="FM294" s="72"/>
      <c r="FN294" s="72"/>
      <c r="FO294" s="72"/>
      <c r="FP294" s="72"/>
      <c r="FQ294" s="72"/>
      <c r="FR294" s="72"/>
      <c r="FS294" s="72"/>
      <c r="FT294" s="72"/>
      <c r="FU294" s="72"/>
      <c r="FV294" s="72"/>
      <c r="FW294" s="72"/>
      <c r="FX294" s="72"/>
      <c r="FY294" s="72"/>
      <c r="FZ294" s="72"/>
      <c r="GA294" s="72"/>
      <c r="GB294" s="72"/>
      <c r="GC294" s="72"/>
      <c r="GD294" s="72"/>
      <c r="GE294" s="72"/>
    </row>
    <row r="295" spans="1:10" ht="18" customHeight="1" hidden="1">
      <c r="A295" s="73" t="s">
        <v>369</v>
      </c>
      <c r="B295" s="48" t="s">
        <v>120</v>
      </c>
      <c r="C295" s="49" t="s">
        <v>370</v>
      </c>
      <c r="D295" s="220">
        <f>SUM(E295:J295)</f>
        <v>0</v>
      </c>
      <c r="E295" s="47"/>
      <c r="F295" s="47">
        <f>'Областной бюджет'!G410</f>
        <v>0</v>
      </c>
      <c r="G295" s="47"/>
      <c r="H295" s="47"/>
      <c r="I295" s="47"/>
      <c r="J295" s="47"/>
    </row>
    <row r="296" spans="1:10" ht="53.25" customHeight="1">
      <c r="A296" s="73" t="s">
        <v>121</v>
      </c>
      <c r="B296" s="48" t="s">
        <v>122</v>
      </c>
      <c r="C296" s="49" t="s">
        <v>35</v>
      </c>
      <c r="D296" s="220">
        <f>SUM(E296:J296)</f>
        <v>14739499.21342</v>
      </c>
      <c r="E296" s="47">
        <f>'Местный бюджет'!G495</f>
        <v>2104672.79342</v>
      </c>
      <c r="F296" s="47">
        <f>'Областной бюджет'!G426</f>
        <v>12634826.42</v>
      </c>
      <c r="G296" s="47">
        <f>G303</f>
        <v>0</v>
      </c>
      <c r="H296" s="47"/>
      <c r="I296" s="47"/>
      <c r="J296" s="47"/>
    </row>
    <row r="297" spans="1:10" ht="15" hidden="1">
      <c r="A297" s="91" t="s">
        <v>83</v>
      </c>
      <c r="B297" s="69" t="s">
        <v>123</v>
      </c>
      <c r="C297" s="70">
        <v>300</v>
      </c>
      <c r="D297" s="220"/>
      <c r="E297" s="68"/>
      <c r="F297" s="68"/>
      <c r="G297" s="68"/>
      <c r="H297" s="68"/>
      <c r="I297" s="68"/>
      <c r="J297" s="68"/>
    </row>
    <row r="298" spans="1:10" ht="46.5" hidden="1">
      <c r="A298" s="73" t="s">
        <v>124</v>
      </c>
      <c r="B298" s="48" t="s">
        <v>125</v>
      </c>
      <c r="C298" s="49">
        <v>340</v>
      </c>
      <c r="D298" s="220">
        <f aca="true" t="shared" si="4" ref="D298:D305">SUM(E298:J298)</f>
        <v>0</v>
      </c>
      <c r="E298" s="47"/>
      <c r="F298" s="47"/>
      <c r="G298" s="47"/>
      <c r="H298" s="47"/>
      <c r="I298" s="47"/>
      <c r="J298" s="47"/>
    </row>
    <row r="299" spans="1:10" ht="78" hidden="1">
      <c r="A299" s="73" t="s">
        <v>126</v>
      </c>
      <c r="B299" s="48" t="s">
        <v>127</v>
      </c>
      <c r="C299" s="49">
        <v>350</v>
      </c>
      <c r="D299" s="220">
        <f t="shared" si="4"/>
        <v>0</v>
      </c>
      <c r="E299" s="47"/>
      <c r="F299" s="47"/>
      <c r="G299" s="47"/>
      <c r="H299" s="47"/>
      <c r="I299" s="47"/>
      <c r="J299" s="47"/>
    </row>
    <row r="300" spans="1:10" ht="30.75" hidden="1">
      <c r="A300" s="73" t="s">
        <v>128</v>
      </c>
      <c r="B300" s="48" t="s">
        <v>129</v>
      </c>
      <c r="C300" s="49">
        <v>360</v>
      </c>
      <c r="D300" s="220">
        <f t="shared" si="4"/>
        <v>0</v>
      </c>
      <c r="E300" s="47"/>
      <c r="F300" s="47"/>
      <c r="G300" s="47"/>
      <c r="H300" s="47"/>
      <c r="I300" s="47"/>
      <c r="J300" s="47"/>
    </row>
    <row r="301" spans="1:187" s="429" customFormat="1" ht="53.25" customHeight="1">
      <c r="A301" s="73" t="s">
        <v>766</v>
      </c>
      <c r="B301" s="48" t="s">
        <v>729</v>
      </c>
      <c r="C301" s="49"/>
      <c r="D301" s="220">
        <f>SUM(E301:J301)</f>
        <v>14739499.21342</v>
      </c>
      <c r="E301" s="47">
        <f>E296</f>
        <v>2104672.79342</v>
      </c>
      <c r="F301" s="47">
        <f>F296</f>
        <v>12634826.42</v>
      </c>
      <c r="G301" s="47">
        <f>G296</f>
        <v>0</v>
      </c>
      <c r="H301" s="47"/>
      <c r="I301" s="47"/>
      <c r="J301" s="47"/>
      <c r="K301" s="430"/>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0"/>
      <c r="AJ301" s="430"/>
      <c r="AK301" s="430"/>
      <c r="AL301" s="430"/>
      <c r="AM301" s="430"/>
      <c r="AN301" s="430"/>
      <c r="AO301" s="430"/>
      <c r="AP301" s="430"/>
      <c r="AQ301" s="430"/>
      <c r="AR301" s="430"/>
      <c r="AS301" s="430"/>
      <c r="AT301" s="430"/>
      <c r="AU301" s="430"/>
      <c r="AV301" s="430"/>
      <c r="AW301" s="430"/>
      <c r="AX301" s="430"/>
      <c r="AY301" s="430"/>
      <c r="AZ301" s="430"/>
      <c r="BA301" s="430"/>
      <c r="BB301" s="430"/>
      <c r="BC301" s="430"/>
      <c r="BD301" s="430"/>
      <c r="BE301" s="430"/>
      <c r="BF301" s="430"/>
      <c r="BG301" s="430"/>
      <c r="BH301" s="430"/>
      <c r="BI301" s="430"/>
      <c r="BJ301" s="430"/>
      <c r="BK301" s="430"/>
      <c r="BL301" s="430"/>
      <c r="BM301" s="430"/>
      <c r="BN301" s="430"/>
      <c r="BO301" s="430"/>
      <c r="BP301" s="430"/>
      <c r="BQ301" s="430"/>
      <c r="BR301" s="430"/>
      <c r="BS301" s="430"/>
      <c r="BT301" s="430"/>
      <c r="BU301" s="430"/>
      <c r="BV301" s="430"/>
      <c r="BW301" s="430"/>
      <c r="BX301" s="430"/>
      <c r="BY301" s="430"/>
      <c r="BZ301" s="430"/>
      <c r="CA301" s="430"/>
      <c r="CB301" s="430"/>
      <c r="CC301" s="430"/>
      <c r="CD301" s="430"/>
      <c r="CE301" s="430"/>
      <c r="CF301" s="430"/>
      <c r="CG301" s="430"/>
      <c r="CH301" s="430"/>
      <c r="CI301" s="430"/>
      <c r="CJ301" s="430"/>
      <c r="CK301" s="430"/>
      <c r="CL301" s="430"/>
      <c r="CM301" s="430"/>
      <c r="CN301" s="430"/>
      <c r="CO301" s="430"/>
      <c r="CP301" s="430"/>
      <c r="CQ301" s="430"/>
      <c r="CR301" s="430"/>
      <c r="CS301" s="430"/>
      <c r="CT301" s="430"/>
      <c r="CU301" s="430"/>
      <c r="CV301" s="430"/>
      <c r="CW301" s="430"/>
      <c r="CX301" s="430"/>
      <c r="CY301" s="430"/>
      <c r="CZ301" s="430"/>
      <c r="DA301" s="430"/>
      <c r="DB301" s="430"/>
      <c r="DC301" s="430"/>
      <c r="DD301" s="430"/>
      <c r="DE301" s="430"/>
      <c r="DF301" s="430"/>
      <c r="DG301" s="430"/>
      <c r="DH301" s="430"/>
      <c r="DI301" s="430"/>
      <c r="DJ301" s="430"/>
      <c r="DK301" s="430"/>
      <c r="DL301" s="430"/>
      <c r="DM301" s="430"/>
      <c r="DN301" s="430"/>
      <c r="DO301" s="430"/>
      <c r="DP301" s="430"/>
      <c r="DQ301" s="430"/>
      <c r="DR301" s="430"/>
      <c r="DS301" s="430"/>
      <c r="DT301" s="430"/>
      <c r="DU301" s="430"/>
      <c r="DV301" s="430"/>
      <c r="DW301" s="430"/>
      <c r="DX301" s="430"/>
      <c r="DY301" s="430"/>
      <c r="DZ301" s="430"/>
      <c r="EA301" s="430"/>
      <c r="EB301" s="430"/>
      <c r="EC301" s="430"/>
      <c r="ED301" s="430"/>
      <c r="EE301" s="430"/>
      <c r="EF301" s="430"/>
      <c r="EG301" s="430"/>
      <c r="EH301" s="430"/>
      <c r="EI301" s="430"/>
      <c r="EJ301" s="430"/>
      <c r="EK301" s="430"/>
      <c r="EL301" s="430"/>
      <c r="EM301" s="430"/>
      <c r="EN301" s="430"/>
      <c r="EO301" s="430"/>
      <c r="EP301" s="430"/>
      <c r="EQ301" s="430"/>
      <c r="ER301" s="430"/>
      <c r="ES301" s="430"/>
      <c r="ET301" s="430"/>
      <c r="EU301" s="430"/>
      <c r="EV301" s="430"/>
      <c r="EW301" s="430"/>
      <c r="EX301" s="430"/>
      <c r="EY301" s="430"/>
      <c r="EZ301" s="430"/>
      <c r="FA301" s="430"/>
      <c r="FB301" s="430"/>
      <c r="FC301" s="430"/>
      <c r="FD301" s="430"/>
      <c r="FE301" s="430"/>
      <c r="FF301" s="430"/>
      <c r="FG301" s="430"/>
      <c r="FH301" s="430"/>
      <c r="FI301" s="430"/>
      <c r="FJ301" s="430"/>
      <c r="FK301" s="430"/>
      <c r="FL301" s="430"/>
      <c r="FM301" s="430"/>
      <c r="FN301" s="430"/>
      <c r="FO301" s="430"/>
      <c r="FP301" s="430"/>
      <c r="FQ301" s="430"/>
      <c r="FR301" s="430"/>
      <c r="FS301" s="430"/>
      <c r="FT301" s="430"/>
      <c r="FU301" s="430"/>
      <c r="FV301" s="430"/>
      <c r="FW301" s="430"/>
      <c r="FX301" s="430"/>
      <c r="FY301" s="430"/>
      <c r="FZ301" s="430"/>
      <c r="GA301" s="430"/>
      <c r="GB301" s="430"/>
      <c r="GC301" s="430"/>
      <c r="GD301" s="430"/>
      <c r="GE301" s="430"/>
    </row>
    <row r="302" spans="1:187" s="429" customFormat="1" ht="59.25" customHeight="1">
      <c r="A302" s="73" t="s">
        <v>767</v>
      </c>
      <c r="B302" s="48"/>
      <c r="C302" s="49" t="s">
        <v>371</v>
      </c>
      <c r="D302" s="220">
        <f>SUM(E302:J302)</f>
        <v>14739499.21342</v>
      </c>
      <c r="E302" s="47">
        <f>E296</f>
        <v>2104672.79342</v>
      </c>
      <c r="F302" s="47">
        <f>F296</f>
        <v>12634826.42</v>
      </c>
      <c r="G302" s="47"/>
      <c r="H302" s="47"/>
      <c r="I302" s="47"/>
      <c r="J302" s="47"/>
      <c r="K302" s="430"/>
      <c r="L302" s="430"/>
      <c r="M302" s="430"/>
      <c r="N302" s="430"/>
      <c r="O302" s="430"/>
      <c r="P302" s="430"/>
      <c r="Q302" s="430"/>
      <c r="R302" s="430"/>
      <c r="S302" s="430"/>
      <c r="T302" s="430"/>
      <c r="U302" s="430"/>
      <c r="V302" s="430"/>
      <c r="W302" s="430"/>
      <c r="X302" s="430"/>
      <c r="Y302" s="430"/>
      <c r="Z302" s="430"/>
      <c r="AA302" s="430"/>
      <c r="AB302" s="430"/>
      <c r="AC302" s="430"/>
      <c r="AD302" s="430"/>
      <c r="AE302" s="430"/>
      <c r="AF302" s="430"/>
      <c r="AG302" s="430"/>
      <c r="AH302" s="430"/>
      <c r="AI302" s="430"/>
      <c r="AJ302" s="430"/>
      <c r="AK302" s="430"/>
      <c r="AL302" s="430"/>
      <c r="AM302" s="430"/>
      <c r="AN302" s="430"/>
      <c r="AO302" s="430"/>
      <c r="AP302" s="430"/>
      <c r="AQ302" s="430"/>
      <c r="AR302" s="430"/>
      <c r="AS302" s="430"/>
      <c r="AT302" s="430"/>
      <c r="AU302" s="430"/>
      <c r="AV302" s="430"/>
      <c r="AW302" s="430"/>
      <c r="AX302" s="430"/>
      <c r="AY302" s="430"/>
      <c r="AZ302" s="430"/>
      <c r="BA302" s="430"/>
      <c r="BB302" s="430"/>
      <c r="BC302" s="430"/>
      <c r="BD302" s="430"/>
      <c r="BE302" s="430"/>
      <c r="BF302" s="430"/>
      <c r="BG302" s="430"/>
      <c r="BH302" s="430"/>
      <c r="BI302" s="430"/>
      <c r="BJ302" s="430"/>
      <c r="BK302" s="430"/>
      <c r="BL302" s="430"/>
      <c r="BM302" s="430"/>
      <c r="BN302" s="430"/>
      <c r="BO302" s="430"/>
      <c r="BP302" s="430"/>
      <c r="BQ302" s="430"/>
      <c r="BR302" s="430"/>
      <c r="BS302" s="430"/>
      <c r="BT302" s="430"/>
      <c r="BU302" s="430"/>
      <c r="BV302" s="430"/>
      <c r="BW302" s="430"/>
      <c r="BX302" s="430"/>
      <c r="BY302" s="430"/>
      <c r="BZ302" s="430"/>
      <c r="CA302" s="430"/>
      <c r="CB302" s="430"/>
      <c r="CC302" s="430"/>
      <c r="CD302" s="430"/>
      <c r="CE302" s="430"/>
      <c r="CF302" s="430"/>
      <c r="CG302" s="430"/>
      <c r="CH302" s="430"/>
      <c r="CI302" s="430"/>
      <c r="CJ302" s="430"/>
      <c r="CK302" s="430"/>
      <c r="CL302" s="430"/>
      <c r="CM302" s="430"/>
      <c r="CN302" s="430"/>
      <c r="CO302" s="430"/>
      <c r="CP302" s="430"/>
      <c r="CQ302" s="430"/>
      <c r="CR302" s="430"/>
      <c r="CS302" s="430"/>
      <c r="CT302" s="430"/>
      <c r="CU302" s="430"/>
      <c r="CV302" s="430"/>
      <c r="CW302" s="430"/>
      <c r="CX302" s="430"/>
      <c r="CY302" s="430"/>
      <c r="CZ302" s="430"/>
      <c r="DA302" s="430"/>
      <c r="DB302" s="430"/>
      <c r="DC302" s="430"/>
      <c r="DD302" s="430"/>
      <c r="DE302" s="430"/>
      <c r="DF302" s="430"/>
      <c r="DG302" s="430"/>
      <c r="DH302" s="430"/>
      <c r="DI302" s="430"/>
      <c r="DJ302" s="430"/>
      <c r="DK302" s="430"/>
      <c r="DL302" s="430"/>
      <c r="DM302" s="430"/>
      <c r="DN302" s="430"/>
      <c r="DO302" s="430"/>
      <c r="DP302" s="430"/>
      <c r="DQ302" s="430"/>
      <c r="DR302" s="430"/>
      <c r="DS302" s="430"/>
      <c r="DT302" s="430"/>
      <c r="DU302" s="430"/>
      <c r="DV302" s="430"/>
      <c r="DW302" s="430"/>
      <c r="DX302" s="430"/>
      <c r="DY302" s="430"/>
      <c r="DZ302" s="430"/>
      <c r="EA302" s="430"/>
      <c r="EB302" s="430"/>
      <c r="EC302" s="430"/>
      <c r="ED302" s="430"/>
      <c r="EE302" s="430"/>
      <c r="EF302" s="430"/>
      <c r="EG302" s="430"/>
      <c r="EH302" s="430"/>
      <c r="EI302" s="430"/>
      <c r="EJ302" s="430"/>
      <c r="EK302" s="430"/>
      <c r="EL302" s="430"/>
      <c r="EM302" s="430"/>
      <c r="EN302" s="430"/>
      <c r="EO302" s="430"/>
      <c r="EP302" s="430"/>
      <c r="EQ302" s="430"/>
      <c r="ER302" s="430"/>
      <c r="ES302" s="430"/>
      <c r="ET302" s="430"/>
      <c r="EU302" s="430"/>
      <c r="EV302" s="430"/>
      <c r="EW302" s="430"/>
      <c r="EX302" s="430"/>
      <c r="EY302" s="430"/>
      <c r="EZ302" s="430"/>
      <c r="FA302" s="430"/>
      <c r="FB302" s="430"/>
      <c r="FC302" s="430"/>
      <c r="FD302" s="430"/>
      <c r="FE302" s="430"/>
      <c r="FF302" s="430"/>
      <c r="FG302" s="430"/>
      <c r="FH302" s="430"/>
      <c r="FI302" s="430"/>
      <c r="FJ302" s="430"/>
      <c r="FK302" s="430"/>
      <c r="FL302" s="430"/>
      <c r="FM302" s="430"/>
      <c r="FN302" s="430"/>
      <c r="FO302" s="430"/>
      <c r="FP302" s="430"/>
      <c r="FQ302" s="430"/>
      <c r="FR302" s="430"/>
      <c r="FS302" s="430"/>
      <c r="FT302" s="430"/>
      <c r="FU302" s="430"/>
      <c r="FV302" s="430"/>
      <c r="FW302" s="430"/>
      <c r="FX302" s="430"/>
      <c r="FY302" s="430"/>
      <c r="FZ302" s="430"/>
      <c r="GA302" s="430"/>
      <c r="GB302" s="430"/>
      <c r="GC302" s="430"/>
      <c r="GD302" s="430"/>
      <c r="GE302" s="430"/>
    </row>
    <row r="303" spans="1:187" s="1" customFormat="1" ht="18" customHeight="1">
      <c r="A303" s="352" t="s">
        <v>688</v>
      </c>
      <c r="B303" s="51"/>
      <c r="C303" s="53" t="s">
        <v>579</v>
      </c>
      <c r="D303" s="220">
        <f>G303</f>
        <v>0</v>
      </c>
      <c r="E303" s="47"/>
      <c r="F303" s="47"/>
      <c r="G303" s="304">
        <f>'Иные цели'!H838</f>
        <v>0</v>
      </c>
      <c r="H303" s="47"/>
      <c r="I303" s="47"/>
      <c r="J303" s="47"/>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c r="BO303" s="72"/>
      <c r="BP303" s="72"/>
      <c r="BQ303" s="72"/>
      <c r="BR303" s="72"/>
      <c r="BS303" s="72"/>
      <c r="BT303" s="72"/>
      <c r="BU303" s="72"/>
      <c r="BV303" s="72"/>
      <c r="BW303" s="72"/>
      <c r="BX303" s="72"/>
      <c r="BY303" s="72"/>
      <c r="BZ303" s="72"/>
      <c r="CA303" s="72"/>
      <c r="CB303" s="72"/>
      <c r="CC303" s="72"/>
      <c r="CD303" s="72"/>
      <c r="CE303" s="72"/>
      <c r="CF303" s="72"/>
      <c r="CG303" s="72"/>
      <c r="CH303" s="72"/>
      <c r="CI303" s="72"/>
      <c r="CJ303" s="72"/>
      <c r="CK303" s="72"/>
      <c r="CL303" s="72"/>
      <c r="CM303" s="72"/>
      <c r="CN303" s="72"/>
      <c r="CO303" s="72"/>
      <c r="CP303" s="72"/>
      <c r="CQ303" s="72"/>
      <c r="CR303" s="72"/>
      <c r="CS303" s="72"/>
      <c r="CT303" s="72"/>
      <c r="CU303" s="72"/>
      <c r="CV303" s="72"/>
      <c r="CW303" s="72"/>
      <c r="CX303" s="72"/>
      <c r="CY303" s="72"/>
      <c r="CZ303" s="72"/>
      <c r="DA303" s="72"/>
      <c r="DB303" s="72"/>
      <c r="DC303" s="72"/>
      <c r="DD303" s="72"/>
      <c r="DE303" s="72"/>
      <c r="DF303" s="72"/>
      <c r="DG303" s="72"/>
      <c r="DH303" s="72"/>
      <c r="DI303" s="72"/>
      <c r="DJ303" s="72"/>
      <c r="DK303" s="72"/>
      <c r="DL303" s="72"/>
      <c r="DM303" s="72"/>
      <c r="DN303" s="72"/>
      <c r="DO303" s="72"/>
      <c r="DP303" s="72"/>
      <c r="DQ303" s="72"/>
      <c r="DR303" s="72"/>
      <c r="DS303" s="72"/>
      <c r="DT303" s="72"/>
      <c r="DU303" s="72"/>
      <c r="DV303" s="72"/>
      <c r="DW303" s="72"/>
      <c r="DX303" s="72"/>
      <c r="DY303" s="72"/>
      <c r="DZ303" s="72"/>
      <c r="EA303" s="72"/>
      <c r="EB303" s="72"/>
      <c r="EC303" s="72"/>
      <c r="ED303" s="72"/>
      <c r="EE303" s="72"/>
      <c r="EF303" s="72"/>
      <c r="EG303" s="72"/>
      <c r="EH303" s="72"/>
      <c r="EI303" s="72"/>
      <c r="EJ303" s="72"/>
      <c r="EK303" s="72"/>
      <c r="EL303" s="72"/>
      <c r="EM303" s="72"/>
      <c r="EN303" s="72"/>
      <c r="EO303" s="72"/>
      <c r="EP303" s="72"/>
      <c r="EQ303" s="72"/>
      <c r="ER303" s="72"/>
      <c r="ES303" s="72"/>
      <c r="ET303" s="72"/>
      <c r="EU303" s="72"/>
      <c r="EV303" s="72"/>
      <c r="EW303" s="72"/>
      <c r="EX303" s="72"/>
      <c r="EY303" s="72"/>
      <c r="EZ303" s="72"/>
      <c r="FA303" s="72"/>
      <c r="FB303" s="72"/>
      <c r="FC303" s="72"/>
      <c r="FD303" s="72"/>
      <c r="FE303" s="72"/>
      <c r="FF303" s="72"/>
      <c r="FG303" s="72"/>
      <c r="FH303" s="72"/>
      <c r="FI303" s="72"/>
      <c r="FJ303" s="72"/>
      <c r="FK303" s="72"/>
      <c r="FL303" s="72"/>
      <c r="FM303" s="72"/>
      <c r="FN303" s="72"/>
      <c r="FO303" s="72"/>
      <c r="FP303" s="72"/>
      <c r="FQ303" s="72"/>
      <c r="FR303" s="72"/>
      <c r="FS303" s="72"/>
      <c r="FT303" s="72"/>
      <c r="FU303" s="72"/>
      <c r="FV303" s="72"/>
      <c r="FW303" s="72"/>
      <c r="FX303" s="72"/>
      <c r="FY303" s="72"/>
      <c r="FZ303" s="72"/>
      <c r="GA303" s="72"/>
      <c r="GB303" s="72"/>
      <c r="GC303" s="72"/>
      <c r="GD303" s="72"/>
      <c r="GE303" s="72"/>
    </row>
    <row r="304" spans="1:10" ht="15">
      <c r="A304" s="91" t="s">
        <v>130</v>
      </c>
      <c r="B304" s="69" t="s">
        <v>131</v>
      </c>
      <c r="C304" s="70">
        <v>850</v>
      </c>
      <c r="D304" s="220">
        <f t="shared" si="4"/>
        <v>32500</v>
      </c>
      <c r="E304" s="68"/>
      <c r="F304" s="68"/>
      <c r="G304" s="68"/>
      <c r="H304" s="68">
        <f>H305</f>
        <v>32500</v>
      </c>
      <c r="I304" s="68"/>
      <c r="J304" s="68"/>
    </row>
    <row r="305" spans="1:10" ht="33" customHeight="1">
      <c r="A305" s="73" t="s">
        <v>768</v>
      </c>
      <c r="B305" s="48" t="s">
        <v>134</v>
      </c>
      <c r="C305" s="49" t="s">
        <v>372</v>
      </c>
      <c r="D305" s="220">
        <f t="shared" si="4"/>
        <v>32500</v>
      </c>
      <c r="E305" s="47"/>
      <c r="F305" s="47"/>
      <c r="G305" s="47"/>
      <c r="H305" s="47">
        <f>Внебюджет!G444</f>
        <v>32500</v>
      </c>
      <c r="I305" s="47"/>
      <c r="J305" s="47"/>
    </row>
    <row r="306" spans="1:10" ht="53.25" customHeight="1" hidden="1">
      <c r="A306" s="73" t="s">
        <v>133</v>
      </c>
      <c r="B306" s="48" t="s">
        <v>134</v>
      </c>
      <c r="C306" s="49" t="s">
        <v>372</v>
      </c>
      <c r="D306" s="220"/>
      <c r="E306" s="47"/>
      <c r="F306" s="47"/>
      <c r="G306" s="47"/>
      <c r="H306" s="47"/>
      <c r="I306" s="47"/>
      <c r="J306" s="47"/>
    </row>
    <row r="307" spans="1:10" ht="30.75" hidden="1">
      <c r="A307" s="73" t="s">
        <v>135</v>
      </c>
      <c r="B307" s="48" t="s">
        <v>136</v>
      </c>
      <c r="C307" s="49" t="s">
        <v>373</v>
      </c>
      <c r="D307" s="220"/>
      <c r="E307" s="47"/>
      <c r="F307" s="47"/>
      <c r="G307" s="47"/>
      <c r="H307" s="47"/>
      <c r="I307" s="47"/>
      <c r="J307" s="47"/>
    </row>
    <row r="308" spans="1:10" ht="15" hidden="1">
      <c r="A308" s="73" t="s">
        <v>175</v>
      </c>
      <c r="B308" s="48"/>
      <c r="C308" s="49"/>
      <c r="D308" s="220"/>
      <c r="E308" s="47"/>
      <c r="F308" s="47"/>
      <c r="G308" s="47"/>
      <c r="H308" s="47"/>
      <c r="I308" s="47"/>
      <c r="J308" s="47"/>
    </row>
    <row r="309" spans="1:10" ht="30.75" hidden="1">
      <c r="A309" s="91" t="s">
        <v>137</v>
      </c>
      <c r="B309" s="69" t="s">
        <v>138</v>
      </c>
      <c r="C309" s="70" t="s">
        <v>35</v>
      </c>
      <c r="D309" s="220"/>
      <c r="E309" s="68"/>
      <c r="F309" s="68"/>
      <c r="G309" s="68"/>
      <c r="H309" s="68"/>
      <c r="I309" s="68"/>
      <c r="J309" s="68"/>
    </row>
    <row r="310" spans="1:10" ht="28.5" customHeight="1" hidden="1">
      <c r="A310" s="73" t="s">
        <v>140</v>
      </c>
      <c r="B310" s="48" t="s">
        <v>139</v>
      </c>
      <c r="C310" s="49">
        <v>810</v>
      </c>
      <c r="D310" s="220"/>
      <c r="E310" s="47"/>
      <c r="F310" s="47"/>
      <c r="G310" s="47"/>
      <c r="H310" s="47"/>
      <c r="I310" s="47"/>
      <c r="J310" s="47"/>
    </row>
    <row r="311" spans="1:10" ht="39" customHeight="1">
      <c r="A311" s="91" t="s">
        <v>141</v>
      </c>
      <c r="B311" s="69" t="s">
        <v>142</v>
      </c>
      <c r="C311" s="70" t="s">
        <v>35</v>
      </c>
      <c r="D311" s="220"/>
      <c r="E311" s="68"/>
      <c r="F311" s="68"/>
      <c r="G311" s="68"/>
      <c r="H311" s="68"/>
      <c r="I311" s="68"/>
      <c r="J311" s="68"/>
    </row>
    <row r="312" spans="1:10" ht="62.25" hidden="1">
      <c r="A312" s="91" t="s">
        <v>143</v>
      </c>
      <c r="B312" s="69" t="s">
        <v>144</v>
      </c>
      <c r="C312" s="70" t="s">
        <v>374</v>
      </c>
      <c r="D312" s="220"/>
      <c r="E312" s="68"/>
      <c r="F312" s="68"/>
      <c r="G312" s="68"/>
      <c r="H312" s="68"/>
      <c r="I312" s="68"/>
      <c r="J312" s="68"/>
    </row>
    <row r="313" spans="1:10" ht="25.5" customHeight="1">
      <c r="A313" s="91" t="s">
        <v>145</v>
      </c>
      <c r="B313" s="69" t="s">
        <v>146</v>
      </c>
      <c r="C313" s="70" t="s">
        <v>35</v>
      </c>
      <c r="D313" s="220">
        <f>SUM(E313:J313)</f>
        <v>11451317.32</v>
      </c>
      <c r="E313" s="68">
        <f>SUM(E321:E344)-E327</f>
        <v>4926212</v>
      </c>
      <c r="F313" s="68">
        <f>SUM(F321:F340)-F327</f>
        <v>6300920</v>
      </c>
      <c r="G313" s="68">
        <f>G327</f>
        <v>0</v>
      </c>
      <c r="H313" s="68">
        <f>SUM(H321:H344)-H327</f>
        <v>224185.32</v>
      </c>
      <c r="I313" s="68"/>
      <c r="J313" s="68"/>
    </row>
    <row r="314" spans="1:10" ht="46.5" hidden="1">
      <c r="A314" s="73" t="s">
        <v>147</v>
      </c>
      <c r="B314" s="48" t="s">
        <v>148</v>
      </c>
      <c r="C314" s="49" t="s">
        <v>375</v>
      </c>
      <c r="D314" s="220">
        <f>SUM(E314:J314)</f>
        <v>0</v>
      </c>
      <c r="E314" s="47"/>
      <c r="F314" s="47"/>
      <c r="G314" s="47"/>
      <c r="H314" s="47"/>
      <c r="I314" s="47"/>
      <c r="J314" s="47"/>
    </row>
    <row r="315" spans="1:10" ht="30.75" hidden="1">
      <c r="A315" s="73" t="s">
        <v>149</v>
      </c>
      <c r="B315" s="48" t="s">
        <v>150</v>
      </c>
      <c r="C315" s="49" t="s">
        <v>376</v>
      </c>
      <c r="D315" s="220">
        <f>SUM(E315:J315)</f>
        <v>0</v>
      </c>
      <c r="E315" s="47"/>
      <c r="F315" s="47"/>
      <c r="G315" s="47"/>
      <c r="H315" s="47"/>
      <c r="I315" s="47"/>
      <c r="J315" s="47"/>
    </row>
    <row r="316" spans="1:10" ht="15" hidden="1">
      <c r="A316" s="73" t="s">
        <v>297</v>
      </c>
      <c r="B316" s="48"/>
      <c r="C316" s="49" t="s">
        <v>376</v>
      </c>
      <c r="D316" s="220">
        <f>SUM(E316:J316)</f>
        <v>0</v>
      </c>
      <c r="E316" s="47"/>
      <c r="F316" s="47"/>
      <c r="G316" s="47"/>
      <c r="H316" s="47"/>
      <c r="I316" s="47"/>
      <c r="J316" s="47"/>
    </row>
    <row r="317" spans="1:10" ht="46.5" hidden="1">
      <c r="A317" s="73" t="s">
        <v>151</v>
      </c>
      <c r="B317" s="48" t="s">
        <v>152</v>
      </c>
      <c r="C317" s="49" t="s">
        <v>377</v>
      </c>
      <c r="D317" s="220">
        <f>SUM(E317:J317)</f>
        <v>0</v>
      </c>
      <c r="E317" s="47"/>
      <c r="F317" s="47"/>
      <c r="G317" s="47"/>
      <c r="H317" s="47"/>
      <c r="I317" s="47"/>
      <c r="J317" s="47"/>
    </row>
    <row r="318" spans="1:187" s="1" customFormat="1" ht="24" customHeight="1">
      <c r="A318" s="73" t="s">
        <v>153</v>
      </c>
      <c r="B318" s="48" t="s">
        <v>154</v>
      </c>
      <c r="C318" s="49" t="s">
        <v>35</v>
      </c>
      <c r="D318" s="220">
        <f>E318+F318+G318+H318</f>
        <v>9370433.06</v>
      </c>
      <c r="E318" s="47">
        <f>SUM(E320:E340)-E327</f>
        <v>3023227.74</v>
      </c>
      <c r="F318" s="47">
        <f>SUM(F320:F351)-F327</f>
        <v>6300920</v>
      </c>
      <c r="G318" s="47">
        <f>G327</f>
        <v>0</v>
      </c>
      <c r="H318" s="47">
        <f>SUM(H320:H341)-H327</f>
        <v>46285.32</v>
      </c>
      <c r="I318" s="47"/>
      <c r="J318" s="47"/>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c r="CI318" s="72"/>
      <c r="CJ318" s="72"/>
      <c r="CK318" s="72"/>
      <c r="CL318" s="72"/>
      <c r="CM318" s="72"/>
      <c r="CN318" s="72"/>
      <c r="CO318" s="72"/>
      <c r="CP318" s="72"/>
      <c r="CQ318" s="72"/>
      <c r="CR318" s="72"/>
      <c r="CS318" s="72"/>
      <c r="CT318" s="72"/>
      <c r="CU318" s="72"/>
      <c r="CV318" s="72"/>
      <c r="CW318" s="72"/>
      <c r="CX318" s="72"/>
      <c r="CY318" s="72"/>
      <c r="CZ318" s="72"/>
      <c r="DA318" s="72"/>
      <c r="DB318" s="72"/>
      <c r="DC318" s="72"/>
      <c r="DD318" s="72"/>
      <c r="DE318" s="72"/>
      <c r="DF318" s="72"/>
      <c r="DG318" s="72"/>
      <c r="DH318" s="72"/>
      <c r="DI318" s="72"/>
      <c r="DJ318" s="72"/>
      <c r="DK318" s="72"/>
      <c r="DL318" s="72"/>
      <c r="DM318" s="72"/>
      <c r="DN318" s="72"/>
      <c r="DO318" s="72"/>
      <c r="DP318" s="72"/>
      <c r="DQ318" s="72"/>
      <c r="DR318" s="72"/>
      <c r="DS318" s="72"/>
      <c r="DT318" s="72"/>
      <c r="DU318" s="72"/>
      <c r="DV318" s="72"/>
      <c r="DW318" s="72"/>
      <c r="DX318" s="72"/>
      <c r="DY318" s="72"/>
      <c r="DZ318" s="72"/>
      <c r="EA318" s="72"/>
      <c r="EB318" s="72"/>
      <c r="EC318" s="72"/>
      <c r="ED318" s="72"/>
      <c r="EE318" s="72"/>
      <c r="EF318" s="72"/>
      <c r="EG318" s="72"/>
      <c r="EH318" s="72"/>
      <c r="EI318" s="72"/>
      <c r="EJ318" s="72"/>
      <c r="EK318" s="72"/>
      <c r="EL318" s="72"/>
      <c r="EM318" s="72"/>
      <c r="EN318" s="72"/>
      <c r="EO318" s="72"/>
      <c r="EP318" s="72"/>
      <c r="EQ318" s="72"/>
      <c r="ER318" s="72"/>
      <c r="ES318" s="72"/>
      <c r="ET318" s="72"/>
      <c r="EU318" s="72"/>
      <c r="EV318" s="72"/>
      <c r="EW318" s="72"/>
      <c r="EX318" s="72"/>
      <c r="EY318" s="72"/>
      <c r="EZ318" s="72"/>
      <c r="FA318" s="72"/>
      <c r="FB318" s="72"/>
      <c r="FC318" s="72"/>
      <c r="FD318" s="72"/>
      <c r="FE318" s="72"/>
      <c r="FF318" s="72"/>
      <c r="FG318" s="72"/>
      <c r="FH318" s="72"/>
      <c r="FI318" s="72"/>
      <c r="FJ318" s="72"/>
      <c r="FK318" s="72"/>
      <c r="FL318" s="72"/>
      <c r="FM318" s="72"/>
      <c r="FN318" s="72"/>
      <c r="FO318" s="72"/>
      <c r="FP318" s="72"/>
      <c r="FQ318" s="72"/>
      <c r="FR318" s="72"/>
      <c r="FS318" s="72"/>
      <c r="FT318" s="72"/>
      <c r="FU318" s="72"/>
      <c r="FV318" s="72"/>
      <c r="FW318" s="72"/>
      <c r="FX318" s="72"/>
      <c r="FY318" s="72"/>
      <c r="FZ318" s="72"/>
      <c r="GA318" s="72"/>
      <c r="GB318" s="72"/>
      <c r="GC318" s="72"/>
      <c r="GD318" s="72"/>
      <c r="GE318" s="72"/>
    </row>
    <row r="319" spans="1:187" s="1" customFormat="1" ht="28.5" customHeight="1" hidden="1">
      <c r="A319" s="73" t="s">
        <v>153</v>
      </c>
      <c r="B319" s="48" t="s">
        <v>154</v>
      </c>
      <c r="C319" s="49" t="s">
        <v>672</v>
      </c>
      <c r="D319" s="220"/>
      <c r="E319" s="47">
        <f>E344</f>
        <v>1902984.26</v>
      </c>
      <c r="F319" s="47"/>
      <c r="G319" s="47"/>
      <c r="H319" s="47">
        <f>H344</f>
        <v>177900</v>
      </c>
      <c r="I319" s="47"/>
      <c r="J319" s="47"/>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c r="BO319" s="72"/>
      <c r="BP319" s="72"/>
      <c r="BQ319" s="72"/>
      <c r="BR319" s="72"/>
      <c r="BS319" s="72"/>
      <c r="BT319" s="72"/>
      <c r="BU319" s="72"/>
      <c r="BV319" s="72"/>
      <c r="BW319" s="72"/>
      <c r="BX319" s="72"/>
      <c r="BY319" s="72"/>
      <c r="BZ319" s="72"/>
      <c r="CA319" s="72"/>
      <c r="CB319" s="72"/>
      <c r="CC319" s="72"/>
      <c r="CD319" s="72"/>
      <c r="CE319" s="72"/>
      <c r="CF319" s="72"/>
      <c r="CG319" s="72"/>
      <c r="CH319" s="72"/>
      <c r="CI319" s="72"/>
      <c r="CJ319" s="72"/>
      <c r="CK319" s="72"/>
      <c r="CL319" s="72"/>
      <c r="CM319" s="72"/>
      <c r="CN319" s="72"/>
      <c r="CO319" s="72"/>
      <c r="CP319" s="72"/>
      <c r="CQ319" s="72"/>
      <c r="CR319" s="72"/>
      <c r="CS319" s="72"/>
      <c r="CT319" s="72"/>
      <c r="CU319" s="72"/>
      <c r="CV319" s="72"/>
      <c r="CW319" s="72"/>
      <c r="CX319" s="72"/>
      <c r="CY319" s="72"/>
      <c r="CZ319" s="72"/>
      <c r="DA319" s="72"/>
      <c r="DB319" s="72"/>
      <c r="DC319" s="72"/>
      <c r="DD319" s="72"/>
      <c r="DE319" s="72"/>
      <c r="DF319" s="72"/>
      <c r="DG319" s="72"/>
      <c r="DH319" s="72"/>
      <c r="DI319" s="72"/>
      <c r="DJ319" s="72"/>
      <c r="DK319" s="72"/>
      <c r="DL319" s="72"/>
      <c r="DM319" s="72"/>
      <c r="DN319" s="72"/>
      <c r="DO319" s="72"/>
      <c r="DP319" s="72"/>
      <c r="DQ319" s="72"/>
      <c r="DR319" s="72"/>
      <c r="DS319" s="72"/>
      <c r="DT319" s="72"/>
      <c r="DU319" s="72"/>
      <c r="DV319" s="72"/>
      <c r="DW319" s="72"/>
      <c r="DX319" s="72"/>
      <c r="DY319" s="72"/>
      <c r="DZ319" s="72"/>
      <c r="EA319" s="72"/>
      <c r="EB319" s="72"/>
      <c r="EC319" s="72"/>
      <c r="ED319" s="72"/>
      <c r="EE319" s="72"/>
      <c r="EF319" s="72"/>
      <c r="EG319" s="72"/>
      <c r="EH319" s="72"/>
      <c r="EI319" s="72"/>
      <c r="EJ319" s="72"/>
      <c r="EK319" s="72"/>
      <c r="EL319" s="72"/>
      <c r="EM319" s="72"/>
      <c r="EN319" s="72"/>
      <c r="EO319" s="72"/>
      <c r="EP319" s="72"/>
      <c r="EQ319" s="72"/>
      <c r="ER319" s="72"/>
      <c r="ES319" s="72"/>
      <c r="ET319" s="72"/>
      <c r="EU319" s="72"/>
      <c r="EV319" s="72"/>
      <c r="EW319" s="72"/>
      <c r="EX319" s="72"/>
      <c r="EY319" s="72"/>
      <c r="EZ319" s="72"/>
      <c r="FA319" s="72"/>
      <c r="FB319" s="72"/>
      <c r="FC319" s="72"/>
      <c r="FD319" s="72"/>
      <c r="FE319" s="72"/>
      <c r="FF319" s="72"/>
      <c r="FG319" s="72"/>
      <c r="FH319" s="72"/>
      <c r="FI319" s="72"/>
      <c r="FJ319" s="72"/>
      <c r="FK319" s="72"/>
      <c r="FL319" s="72"/>
      <c r="FM319" s="72"/>
      <c r="FN319" s="72"/>
      <c r="FO319" s="72"/>
      <c r="FP319" s="72"/>
      <c r="FQ319" s="72"/>
      <c r="FR319" s="72"/>
      <c r="FS319" s="72"/>
      <c r="FT319" s="72"/>
      <c r="FU319" s="72"/>
      <c r="FV319" s="72"/>
      <c r="FW319" s="72"/>
      <c r="FX319" s="72"/>
      <c r="FY319" s="72"/>
      <c r="FZ319" s="72"/>
      <c r="GA319" s="72"/>
      <c r="GB319" s="72"/>
      <c r="GC319" s="72"/>
      <c r="GD319" s="72"/>
      <c r="GE319" s="72"/>
    </row>
    <row r="320" spans="1:10" ht="15" hidden="1">
      <c r="A320" s="73" t="s">
        <v>111</v>
      </c>
      <c r="B320" s="51"/>
      <c r="C320" s="49"/>
      <c r="D320" s="220"/>
      <c r="E320" s="47"/>
      <c r="F320" s="47"/>
      <c r="G320" s="47"/>
      <c r="H320" s="47"/>
      <c r="I320" s="47"/>
      <c r="J320" s="47"/>
    </row>
    <row r="321" spans="1:10" ht="34.5" customHeight="1">
      <c r="A321" s="74" t="s">
        <v>769</v>
      </c>
      <c r="B321" s="51"/>
      <c r="C321" s="53" t="s">
        <v>378</v>
      </c>
      <c r="D321" s="220">
        <f>SUM(E321:J321)</f>
        <v>1000</v>
      </c>
      <c r="E321" s="47"/>
      <c r="F321" s="47"/>
      <c r="G321" s="47"/>
      <c r="H321" s="47">
        <f>Внебюджет!G450</f>
        <v>1000</v>
      </c>
      <c r="I321" s="47"/>
      <c r="J321" s="47"/>
    </row>
    <row r="322" spans="1:10" ht="0.75" customHeight="1" hidden="1">
      <c r="A322" s="74" t="s">
        <v>10</v>
      </c>
      <c r="B322" s="51"/>
      <c r="C322" s="53" t="s">
        <v>379</v>
      </c>
      <c r="D322" s="220"/>
      <c r="E322" s="47"/>
      <c r="F322" s="47"/>
      <c r="G322" s="47"/>
      <c r="H322" s="47"/>
      <c r="I322" s="47"/>
      <c r="J322" s="47"/>
    </row>
    <row r="323" spans="1:10" ht="18" customHeight="1">
      <c r="A323" s="73" t="s">
        <v>3</v>
      </c>
      <c r="B323" s="51"/>
      <c r="C323" s="53" t="s">
        <v>380</v>
      </c>
      <c r="D323" s="220">
        <f>SUM(E323:J323)</f>
        <v>208785.6</v>
      </c>
      <c r="E323" s="47">
        <f>'Местный бюджет'!G523+'Местный бюджет'!G524+'Местный бюджет'!G525</f>
        <v>200000</v>
      </c>
      <c r="F323" s="47"/>
      <c r="G323" s="47"/>
      <c r="H323" s="47">
        <f>Внебюджет!G464</f>
        <v>8785.6</v>
      </c>
      <c r="I323" s="47"/>
      <c r="J323" s="47"/>
    </row>
    <row r="324" spans="1:10" ht="15" hidden="1">
      <c r="A324" s="73" t="s">
        <v>3</v>
      </c>
      <c r="B324" s="51"/>
      <c r="C324" s="53" t="s">
        <v>552</v>
      </c>
      <c r="D324" s="220">
        <f>SUM(E324:J324)</f>
        <v>0</v>
      </c>
      <c r="E324" s="47"/>
      <c r="F324" s="47"/>
      <c r="G324" s="47"/>
      <c r="H324" s="47"/>
      <c r="I324" s="47"/>
      <c r="J324" s="47"/>
    </row>
    <row r="325" spans="1:10" ht="15" hidden="1">
      <c r="A325" s="73" t="s">
        <v>67</v>
      </c>
      <c r="B325" s="51"/>
      <c r="C325" s="53" t="s">
        <v>381</v>
      </c>
      <c r="D325" s="220"/>
      <c r="E325" s="47"/>
      <c r="F325" s="47"/>
      <c r="G325" s="47"/>
      <c r="H325" s="47"/>
      <c r="I325" s="47"/>
      <c r="J325" s="47"/>
    </row>
    <row r="326" spans="1:10" ht="15">
      <c r="A326" s="73" t="s">
        <v>68</v>
      </c>
      <c r="B326" s="51"/>
      <c r="C326" s="53" t="s">
        <v>382</v>
      </c>
      <c r="D326" s="220">
        <f>SUM(E326:J326)</f>
        <v>525199</v>
      </c>
      <c r="E326" s="47">
        <f>'Местный бюджет'!G545</f>
        <v>455199</v>
      </c>
      <c r="F326" s="47">
        <f>'Областной бюджет'!F473</f>
        <v>60000</v>
      </c>
      <c r="G326" s="47"/>
      <c r="H326" s="47">
        <f>Внебюджет!F469</f>
        <v>10000</v>
      </c>
      <c r="I326" s="47"/>
      <c r="J326" s="47"/>
    </row>
    <row r="327" spans="1:10" ht="15">
      <c r="A327" s="74" t="s">
        <v>4</v>
      </c>
      <c r="B327" s="51"/>
      <c r="C327" s="53"/>
      <c r="D327" s="220">
        <f>SUM(E327:J327)</f>
        <v>6826948.74</v>
      </c>
      <c r="E327" s="47">
        <f>'Местный бюджет'!G552</f>
        <v>2368028.74</v>
      </c>
      <c r="F327" s="47">
        <f>'Областной бюджет'!G481</f>
        <v>4453920</v>
      </c>
      <c r="G327" s="47">
        <f>G329</f>
        <v>0</v>
      </c>
      <c r="H327" s="47">
        <f>Внебюджет!G473</f>
        <v>5000</v>
      </c>
      <c r="I327" s="47"/>
      <c r="J327" s="47"/>
    </row>
    <row r="328" spans="1:187" s="429" customFormat="1" ht="35.25" customHeight="1">
      <c r="A328" s="74" t="s">
        <v>770</v>
      </c>
      <c r="B328" s="51"/>
      <c r="C328" s="53" t="s">
        <v>383</v>
      </c>
      <c r="D328" s="434">
        <f>SUM(E328:J328)</f>
        <v>6826948.74</v>
      </c>
      <c r="E328" s="47">
        <f>E327</f>
        <v>2368028.74</v>
      </c>
      <c r="F328" s="47">
        <f>F327</f>
        <v>4453920</v>
      </c>
      <c r="G328" s="47"/>
      <c r="H328" s="47">
        <f>H327</f>
        <v>5000</v>
      </c>
      <c r="I328" s="47"/>
      <c r="J328" s="47"/>
      <c r="K328" s="430"/>
      <c r="L328" s="430"/>
      <c r="M328" s="430"/>
      <c r="N328" s="430"/>
      <c r="O328" s="430"/>
      <c r="P328" s="430"/>
      <c r="Q328" s="430"/>
      <c r="R328" s="430"/>
      <c r="S328" s="430"/>
      <c r="T328" s="430"/>
      <c r="U328" s="430"/>
      <c r="V328" s="430"/>
      <c r="W328" s="430"/>
      <c r="X328" s="430"/>
      <c r="Y328" s="430"/>
      <c r="Z328" s="430"/>
      <c r="AA328" s="430"/>
      <c r="AB328" s="430"/>
      <c r="AC328" s="430"/>
      <c r="AD328" s="430"/>
      <c r="AE328" s="430"/>
      <c r="AF328" s="430"/>
      <c r="AG328" s="430"/>
      <c r="AH328" s="430"/>
      <c r="AI328" s="430"/>
      <c r="AJ328" s="430"/>
      <c r="AK328" s="430"/>
      <c r="AL328" s="430"/>
      <c r="AM328" s="430"/>
      <c r="AN328" s="430"/>
      <c r="AO328" s="430"/>
      <c r="AP328" s="430"/>
      <c r="AQ328" s="430"/>
      <c r="AR328" s="430"/>
      <c r="AS328" s="430"/>
      <c r="AT328" s="430"/>
      <c r="AU328" s="430"/>
      <c r="AV328" s="430"/>
      <c r="AW328" s="430"/>
      <c r="AX328" s="430"/>
      <c r="AY328" s="430"/>
      <c r="AZ328" s="430"/>
      <c r="BA328" s="430"/>
      <c r="BB328" s="430"/>
      <c r="BC328" s="430"/>
      <c r="BD328" s="430"/>
      <c r="BE328" s="430"/>
      <c r="BF328" s="430"/>
      <c r="BG328" s="430"/>
      <c r="BH328" s="430"/>
      <c r="BI328" s="430"/>
      <c r="BJ328" s="430"/>
      <c r="BK328" s="430"/>
      <c r="BL328" s="430"/>
      <c r="BM328" s="430"/>
      <c r="BN328" s="430"/>
      <c r="BO328" s="430"/>
      <c r="BP328" s="430"/>
      <c r="BQ328" s="430"/>
      <c r="BR328" s="430"/>
      <c r="BS328" s="430"/>
      <c r="BT328" s="430"/>
      <c r="BU328" s="430"/>
      <c r="BV328" s="430"/>
      <c r="BW328" s="430"/>
      <c r="BX328" s="430"/>
      <c r="BY328" s="430"/>
      <c r="BZ328" s="430"/>
      <c r="CA328" s="430"/>
      <c r="CB328" s="430"/>
      <c r="CC328" s="430"/>
      <c r="CD328" s="430"/>
      <c r="CE328" s="430"/>
      <c r="CF328" s="430"/>
      <c r="CG328" s="430"/>
      <c r="CH328" s="430"/>
      <c r="CI328" s="430"/>
      <c r="CJ328" s="430"/>
      <c r="CK328" s="430"/>
      <c r="CL328" s="430"/>
      <c r="CM328" s="430"/>
      <c r="CN328" s="430"/>
      <c r="CO328" s="430"/>
      <c r="CP328" s="430"/>
      <c r="CQ328" s="430"/>
      <c r="CR328" s="430"/>
      <c r="CS328" s="430"/>
      <c r="CT328" s="430"/>
      <c r="CU328" s="430"/>
      <c r="CV328" s="430"/>
      <c r="CW328" s="430"/>
      <c r="CX328" s="430"/>
      <c r="CY328" s="430"/>
      <c r="CZ328" s="430"/>
      <c r="DA328" s="430"/>
      <c r="DB328" s="430"/>
      <c r="DC328" s="430"/>
      <c r="DD328" s="430"/>
      <c r="DE328" s="430"/>
      <c r="DF328" s="430"/>
      <c r="DG328" s="430"/>
      <c r="DH328" s="430"/>
      <c r="DI328" s="430"/>
      <c r="DJ328" s="430"/>
      <c r="DK328" s="430"/>
      <c r="DL328" s="430"/>
      <c r="DM328" s="430"/>
      <c r="DN328" s="430"/>
      <c r="DO328" s="430"/>
      <c r="DP328" s="430"/>
      <c r="DQ328" s="430"/>
      <c r="DR328" s="430"/>
      <c r="DS328" s="430"/>
      <c r="DT328" s="430"/>
      <c r="DU328" s="430"/>
      <c r="DV328" s="430"/>
      <c r="DW328" s="430"/>
      <c r="DX328" s="430"/>
      <c r="DY328" s="430"/>
      <c r="DZ328" s="430"/>
      <c r="EA328" s="430"/>
      <c r="EB328" s="430"/>
      <c r="EC328" s="430"/>
      <c r="ED328" s="430"/>
      <c r="EE328" s="430"/>
      <c r="EF328" s="430"/>
      <c r="EG328" s="430"/>
      <c r="EH328" s="430"/>
      <c r="EI328" s="430"/>
      <c r="EJ328" s="430"/>
      <c r="EK328" s="430"/>
      <c r="EL328" s="430"/>
      <c r="EM328" s="430"/>
      <c r="EN328" s="430"/>
      <c r="EO328" s="430"/>
      <c r="EP328" s="430"/>
      <c r="EQ328" s="430"/>
      <c r="ER328" s="430"/>
      <c r="ES328" s="430"/>
      <c r="ET328" s="430"/>
      <c r="EU328" s="430"/>
      <c r="EV328" s="430"/>
      <c r="EW328" s="430"/>
      <c r="EX328" s="430"/>
      <c r="EY328" s="430"/>
      <c r="EZ328" s="430"/>
      <c r="FA328" s="430"/>
      <c r="FB328" s="430"/>
      <c r="FC328" s="430"/>
      <c r="FD328" s="430"/>
      <c r="FE328" s="430"/>
      <c r="FF328" s="430"/>
      <c r="FG328" s="430"/>
      <c r="FH328" s="430"/>
      <c r="FI328" s="430"/>
      <c r="FJ328" s="430"/>
      <c r="FK328" s="430"/>
      <c r="FL328" s="430"/>
      <c r="FM328" s="430"/>
      <c r="FN328" s="430"/>
      <c r="FO328" s="430"/>
      <c r="FP328" s="430"/>
      <c r="FQ328" s="430"/>
      <c r="FR328" s="430"/>
      <c r="FS328" s="430"/>
      <c r="FT328" s="430"/>
      <c r="FU328" s="430"/>
      <c r="FV328" s="430"/>
      <c r="FW328" s="430"/>
      <c r="FX328" s="430"/>
      <c r="FY328" s="430"/>
      <c r="FZ328" s="430"/>
      <c r="GA328" s="430"/>
      <c r="GB328" s="430"/>
      <c r="GC328" s="430"/>
      <c r="GD328" s="430"/>
      <c r="GE328" s="430"/>
    </row>
    <row r="329" spans="1:187" s="1" customFormat="1" ht="15.75" customHeight="1">
      <c r="A329" s="352" t="s">
        <v>691</v>
      </c>
      <c r="B329" s="51"/>
      <c r="C329" s="53" t="s">
        <v>383</v>
      </c>
      <c r="D329" s="303">
        <f>G329</f>
        <v>0</v>
      </c>
      <c r="E329" s="47"/>
      <c r="F329" s="47"/>
      <c r="G329" s="304">
        <f>'Иные цели'!G1042</f>
        <v>0</v>
      </c>
      <c r="H329" s="47"/>
      <c r="I329" s="47"/>
      <c r="J329" s="47"/>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72"/>
      <c r="BY329" s="72"/>
      <c r="BZ329" s="72"/>
      <c r="CA329" s="72"/>
      <c r="CB329" s="72"/>
      <c r="CC329" s="72"/>
      <c r="CD329" s="72"/>
      <c r="CE329" s="72"/>
      <c r="CF329" s="72"/>
      <c r="CG329" s="72"/>
      <c r="CH329" s="72"/>
      <c r="CI329" s="72"/>
      <c r="CJ329" s="72"/>
      <c r="CK329" s="72"/>
      <c r="CL329" s="72"/>
      <c r="CM329" s="72"/>
      <c r="CN329" s="72"/>
      <c r="CO329" s="72"/>
      <c r="CP329" s="72"/>
      <c r="CQ329" s="72"/>
      <c r="CR329" s="72"/>
      <c r="CS329" s="72"/>
      <c r="CT329" s="72"/>
      <c r="CU329" s="72"/>
      <c r="CV329" s="72"/>
      <c r="CW329" s="72"/>
      <c r="CX329" s="72"/>
      <c r="CY329" s="72"/>
      <c r="CZ329" s="72"/>
      <c r="DA329" s="72"/>
      <c r="DB329" s="72"/>
      <c r="DC329" s="72"/>
      <c r="DD329" s="72"/>
      <c r="DE329" s="72"/>
      <c r="DF329" s="72"/>
      <c r="DG329" s="72"/>
      <c r="DH329" s="72"/>
      <c r="DI329" s="72"/>
      <c r="DJ329" s="72"/>
      <c r="DK329" s="72"/>
      <c r="DL329" s="72"/>
      <c r="DM329" s="72"/>
      <c r="DN329" s="72"/>
      <c r="DO329" s="72"/>
      <c r="DP329" s="72"/>
      <c r="DQ329" s="72"/>
      <c r="DR329" s="72"/>
      <c r="DS329" s="72"/>
      <c r="DT329" s="72"/>
      <c r="DU329" s="72"/>
      <c r="DV329" s="72"/>
      <c r="DW329" s="72"/>
      <c r="DX329" s="72"/>
      <c r="DY329" s="72"/>
      <c r="DZ329" s="72"/>
      <c r="EA329" s="72"/>
      <c r="EB329" s="72"/>
      <c r="EC329" s="72"/>
      <c r="ED329" s="72"/>
      <c r="EE329" s="72"/>
      <c r="EF329" s="72"/>
      <c r="EG329" s="72"/>
      <c r="EH329" s="72"/>
      <c r="EI329" s="72"/>
      <c r="EJ329" s="72"/>
      <c r="EK329" s="72"/>
      <c r="EL329" s="72"/>
      <c r="EM329" s="72"/>
      <c r="EN329" s="72"/>
      <c r="EO329" s="72"/>
      <c r="EP329" s="72"/>
      <c r="EQ329" s="72"/>
      <c r="ER329" s="72"/>
      <c r="ES329" s="72"/>
      <c r="ET329" s="72"/>
      <c r="EU329" s="72"/>
      <c r="EV329" s="72"/>
      <c r="EW329" s="72"/>
      <c r="EX329" s="72"/>
      <c r="EY329" s="72"/>
      <c r="EZ329" s="72"/>
      <c r="FA329" s="72"/>
      <c r="FB329" s="72"/>
      <c r="FC329" s="72"/>
      <c r="FD329" s="72"/>
      <c r="FE329" s="72"/>
      <c r="FF329" s="72"/>
      <c r="FG329" s="72"/>
      <c r="FH329" s="72"/>
      <c r="FI329" s="72"/>
      <c r="FJ329" s="72"/>
      <c r="FK329" s="72"/>
      <c r="FL329" s="72"/>
      <c r="FM329" s="72"/>
      <c r="FN329" s="72"/>
      <c r="FO329" s="72"/>
      <c r="FP329" s="72"/>
      <c r="FQ329" s="72"/>
      <c r="FR329" s="72"/>
      <c r="FS329" s="72"/>
      <c r="FT329" s="72"/>
      <c r="FU329" s="72"/>
      <c r="FV329" s="72"/>
      <c r="FW329" s="72"/>
      <c r="FX329" s="72"/>
      <c r="FY329" s="72"/>
      <c r="FZ329" s="72"/>
      <c r="GA329" s="72"/>
      <c r="GB329" s="72"/>
      <c r="GC329" s="72"/>
      <c r="GD329" s="72"/>
      <c r="GE329" s="72"/>
    </row>
    <row r="330" spans="1:10" ht="1.5" customHeight="1" hidden="1">
      <c r="A330" s="73" t="s">
        <v>61</v>
      </c>
      <c r="B330" s="51"/>
      <c r="C330" s="53" t="s">
        <v>384</v>
      </c>
      <c r="D330" s="220"/>
      <c r="E330" s="47"/>
      <c r="F330" s="47"/>
      <c r="G330" s="47"/>
      <c r="H330" s="47"/>
      <c r="I330" s="47"/>
      <c r="J330" s="47"/>
    </row>
    <row r="331" spans="1:10" ht="17.25" customHeight="1" hidden="1">
      <c r="A331" s="73" t="s">
        <v>75</v>
      </c>
      <c r="B331" s="51"/>
      <c r="C331" s="53" t="s">
        <v>385</v>
      </c>
      <c r="D331" s="220"/>
      <c r="E331" s="47"/>
      <c r="F331" s="47"/>
      <c r="G331" s="47"/>
      <c r="H331" s="47"/>
      <c r="I331" s="47"/>
      <c r="J331" s="47"/>
    </row>
    <row r="332" spans="1:10" ht="20.25" customHeight="1">
      <c r="A332" s="73" t="s">
        <v>5</v>
      </c>
      <c r="B332" s="51"/>
      <c r="C332" s="53" t="s">
        <v>386</v>
      </c>
      <c r="D332" s="220">
        <f>SUM(E332:J332)</f>
        <v>1707000</v>
      </c>
      <c r="E332" s="47"/>
      <c r="F332" s="47">
        <f>'Областной бюджет'!G504</f>
        <v>1707000</v>
      </c>
      <c r="G332" s="47"/>
      <c r="H332" s="47"/>
      <c r="I332" s="47"/>
      <c r="J332" s="47"/>
    </row>
    <row r="333" spans="1:10" ht="30.75" hidden="1">
      <c r="A333" s="73" t="s">
        <v>62</v>
      </c>
      <c r="B333" s="51"/>
      <c r="C333" s="53" t="s">
        <v>387</v>
      </c>
      <c r="D333" s="220"/>
      <c r="E333" s="47"/>
      <c r="F333" s="47"/>
      <c r="G333" s="47"/>
      <c r="H333" s="47"/>
      <c r="I333" s="47"/>
      <c r="J333" s="47"/>
    </row>
    <row r="334" spans="1:10" ht="15" hidden="1">
      <c r="A334" s="73" t="s">
        <v>63</v>
      </c>
      <c r="B334" s="51"/>
      <c r="C334" s="53" t="s">
        <v>388</v>
      </c>
      <c r="D334" s="220"/>
      <c r="E334" s="47"/>
      <c r="F334" s="47"/>
      <c r="G334" s="47"/>
      <c r="H334" s="47"/>
      <c r="I334" s="47"/>
      <c r="J334" s="47"/>
    </row>
    <row r="335" spans="1:10" ht="15">
      <c r="A335" s="73" t="s">
        <v>64</v>
      </c>
      <c r="B335" s="51"/>
      <c r="C335" s="53" t="s">
        <v>389</v>
      </c>
      <c r="D335" s="220">
        <f>SUM(E335:J335)</f>
        <v>555</v>
      </c>
      <c r="E335" s="47"/>
      <c r="F335" s="47"/>
      <c r="G335" s="47"/>
      <c r="H335" s="47">
        <f>Внебюджет!G514</f>
        <v>555</v>
      </c>
      <c r="I335" s="47"/>
      <c r="J335" s="47"/>
    </row>
    <row r="336" spans="1:10" ht="15">
      <c r="A336" s="73" t="s">
        <v>65</v>
      </c>
      <c r="B336" s="51"/>
      <c r="C336" s="53" t="s">
        <v>390</v>
      </c>
      <c r="D336" s="220">
        <f>E336+F336+G336+H336+I336+J336</f>
        <v>15000</v>
      </c>
      <c r="E336" s="47"/>
      <c r="F336" s="47"/>
      <c r="G336" s="47"/>
      <c r="H336" s="47">
        <f>Внебюджет!G519</f>
        <v>15000</v>
      </c>
      <c r="I336" s="47"/>
      <c r="J336" s="47"/>
    </row>
    <row r="337" spans="1:10" ht="15">
      <c r="A337" s="74" t="s">
        <v>11</v>
      </c>
      <c r="B337" s="51"/>
      <c r="C337" s="53" t="s">
        <v>391</v>
      </c>
      <c r="D337" s="220">
        <f>SUM(E337:J337)</f>
        <v>5944.72</v>
      </c>
      <c r="E337" s="47"/>
      <c r="F337" s="47"/>
      <c r="G337" s="47"/>
      <c r="H337" s="47">
        <f>Внебюджет!G524</f>
        <v>5944.72</v>
      </c>
      <c r="I337" s="47"/>
      <c r="J337" s="47"/>
    </row>
    <row r="338" spans="1:10" ht="30.75">
      <c r="A338" s="74" t="s">
        <v>12</v>
      </c>
      <c r="B338" s="51"/>
      <c r="C338" s="53" t="s">
        <v>392</v>
      </c>
      <c r="D338" s="220">
        <f>E338+G338+F338+H338+I338+J338</f>
        <v>50000</v>
      </c>
      <c r="E338" s="47"/>
      <c r="F338" s="47">
        <f>'Областной бюджет'!G545</f>
        <v>50000</v>
      </c>
      <c r="G338" s="47"/>
      <c r="H338" s="47"/>
      <c r="I338" s="47"/>
      <c r="J338" s="47"/>
    </row>
    <row r="339" spans="1:10" ht="30.75" hidden="1">
      <c r="A339" s="74" t="s">
        <v>258</v>
      </c>
      <c r="B339" s="51"/>
      <c r="C339" s="49" t="s">
        <v>393</v>
      </c>
      <c r="D339" s="220"/>
      <c r="E339" s="52"/>
      <c r="F339" s="52"/>
      <c r="G339" s="52"/>
      <c r="H339" s="52"/>
      <c r="I339" s="52"/>
      <c r="J339" s="47"/>
    </row>
    <row r="340" spans="1:10" ht="30.75">
      <c r="A340" s="73" t="s">
        <v>66</v>
      </c>
      <c r="B340" s="51"/>
      <c r="C340" s="49" t="s">
        <v>394</v>
      </c>
      <c r="D340" s="220">
        <f>E340+F340+G340+H340+I340+J340</f>
        <v>30000</v>
      </c>
      <c r="E340" s="52"/>
      <c r="F340" s="52">
        <f>'Областной бюджет'!G550</f>
        <v>30000</v>
      </c>
      <c r="G340" s="52"/>
      <c r="H340" s="52"/>
      <c r="I340" s="52"/>
      <c r="J340" s="47"/>
    </row>
    <row r="341" spans="1:10" ht="30.75" hidden="1">
      <c r="A341" s="92" t="s">
        <v>174</v>
      </c>
      <c r="B341" s="81" t="s">
        <v>155</v>
      </c>
      <c r="C341" s="82">
        <v>400</v>
      </c>
      <c r="D341" s="220"/>
      <c r="E341" s="83"/>
      <c r="F341" s="83"/>
      <c r="G341" s="83"/>
      <c r="H341" s="83"/>
      <c r="I341" s="83"/>
      <c r="J341" s="83"/>
    </row>
    <row r="342" spans="1:10" ht="46.5" hidden="1">
      <c r="A342" s="92" t="s">
        <v>156</v>
      </c>
      <c r="B342" s="85" t="s">
        <v>157</v>
      </c>
      <c r="C342" s="80" t="s">
        <v>395</v>
      </c>
      <c r="D342" s="220"/>
      <c r="E342" s="86"/>
      <c r="F342" s="86"/>
      <c r="G342" s="86"/>
      <c r="H342" s="86"/>
      <c r="I342" s="86"/>
      <c r="J342" s="86"/>
    </row>
    <row r="343" spans="1:10" ht="46.5" hidden="1">
      <c r="A343" s="92" t="s">
        <v>158</v>
      </c>
      <c r="B343" s="85" t="s">
        <v>159</v>
      </c>
      <c r="C343" s="80" t="s">
        <v>396</v>
      </c>
      <c r="D343" s="220"/>
      <c r="E343" s="86"/>
      <c r="F343" s="86"/>
      <c r="G343" s="86"/>
      <c r="H343" s="86"/>
      <c r="I343" s="86"/>
      <c r="J343" s="86"/>
    </row>
    <row r="344" spans="1:187" s="419" customFormat="1" ht="37.5" customHeight="1">
      <c r="A344" s="412" t="s">
        <v>648</v>
      </c>
      <c r="B344" s="413" t="s">
        <v>647</v>
      </c>
      <c r="C344" s="414" t="s">
        <v>552</v>
      </c>
      <c r="D344" s="388">
        <f>SUM(E344:J344)</f>
        <v>2080884.26</v>
      </c>
      <c r="E344" s="415">
        <f>'Местный бюджет'!G519+'Местный бюджет'!G520+'Местный бюджет'!G521</f>
        <v>1902984.26</v>
      </c>
      <c r="F344" s="415"/>
      <c r="G344" s="416"/>
      <c r="H344" s="415">
        <f>Внебюджет!G462</f>
        <v>177900</v>
      </c>
      <c r="I344" s="417"/>
      <c r="J344" s="417"/>
      <c r="K344" s="418"/>
      <c r="L344" s="418"/>
      <c r="M344" s="418"/>
      <c r="N344" s="418"/>
      <c r="O344" s="418"/>
      <c r="P344" s="418"/>
      <c r="Q344" s="418"/>
      <c r="R344" s="418"/>
      <c r="S344" s="418"/>
      <c r="T344" s="418"/>
      <c r="U344" s="418"/>
      <c r="V344" s="418"/>
      <c r="W344" s="418"/>
      <c r="X344" s="418"/>
      <c r="Y344" s="418"/>
      <c r="Z344" s="418"/>
      <c r="AA344" s="418"/>
      <c r="AB344" s="418"/>
      <c r="AC344" s="418"/>
      <c r="AD344" s="418"/>
      <c r="AE344" s="418"/>
      <c r="AF344" s="418"/>
      <c r="AG344" s="418"/>
      <c r="AH344" s="418"/>
      <c r="AI344" s="418"/>
      <c r="AJ344" s="418"/>
      <c r="AK344" s="418"/>
      <c r="AL344" s="418"/>
      <c r="AM344" s="418"/>
      <c r="AN344" s="418"/>
      <c r="AO344" s="418"/>
      <c r="AP344" s="418"/>
      <c r="AQ344" s="418"/>
      <c r="AR344" s="418"/>
      <c r="AS344" s="418"/>
      <c r="AT344" s="418"/>
      <c r="AU344" s="418"/>
      <c r="AV344" s="418"/>
      <c r="AW344" s="418"/>
      <c r="AX344" s="418"/>
      <c r="AY344" s="418"/>
      <c r="AZ344" s="418"/>
      <c r="BA344" s="418"/>
      <c r="BB344" s="418"/>
      <c r="BC344" s="418"/>
      <c r="BD344" s="418"/>
      <c r="BE344" s="418"/>
      <c r="BF344" s="418"/>
      <c r="BG344" s="418"/>
      <c r="BH344" s="418"/>
      <c r="BI344" s="418"/>
      <c r="BJ344" s="418"/>
      <c r="BK344" s="418"/>
      <c r="BL344" s="418"/>
      <c r="BM344" s="418"/>
      <c r="BN344" s="418"/>
      <c r="BO344" s="418"/>
      <c r="BP344" s="418"/>
      <c r="BQ344" s="418"/>
      <c r="BR344" s="418"/>
      <c r="BS344" s="418"/>
      <c r="BT344" s="418"/>
      <c r="BU344" s="418"/>
      <c r="BV344" s="418"/>
      <c r="BW344" s="418"/>
      <c r="BX344" s="418"/>
      <c r="BY344" s="418"/>
      <c r="BZ344" s="418"/>
      <c r="CA344" s="418"/>
      <c r="CB344" s="418"/>
      <c r="CC344" s="418"/>
      <c r="CD344" s="418"/>
      <c r="CE344" s="418"/>
      <c r="CF344" s="418"/>
      <c r="CG344" s="418"/>
      <c r="CH344" s="418"/>
      <c r="CI344" s="418"/>
      <c r="CJ344" s="418"/>
      <c r="CK344" s="418"/>
      <c r="CL344" s="418"/>
      <c r="CM344" s="418"/>
      <c r="CN344" s="418"/>
      <c r="CO344" s="418"/>
      <c r="CP344" s="418"/>
      <c r="CQ344" s="418"/>
      <c r="CR344" s="418"/>
      <c r="CS344" s="418"/>
      <c r="CT344" s="418"/>
      <c r="CU344" s="418"/>
      <c r="CV344" s="418"/>
      <c r="CW344" s="418"/>
      <c r="CX344" s="418"/>
      <c r="CY344" s="418"/>
      <c r="CZ344" s="418"/>
      <c r="DA344" s="418"/>
      <c r="DB344" s="418"/>
      <c r="DC344" s="418"/>
      <c r="DD344" s="418"/>
      <c r="DE344" s="418"/>
      <c r="DF344" s="418"/>
      <c r="DG344" s="418"/>
      <c r="DH344" s="418"/>
      <c r="DI344" s="418"/>
      <c r="DJ344" s="418"/>
      <c r="DK344" s="418"/>
      <c r="DL344" s="418"/>
      <c r="DM344" s="418"/>
      <c r="DN344" s="418"/>
      <c r="DO344" s="418"/>
      <c r="DP344" s="418"/>
      <c r="DQ344" s="418"/>
      <c r="DR344" s="418"/>
      <c r="DS344" s="418"/>
      <c r="DT344" s="418"/>
      <c r="DU344" s="418"/>
      <c r="DV344" s="418"/>
      <c r="DW344" s="418"/>
      <c r="DX344" s="418"/>
      <c r="DY344" s="418"/>
      <c r="DZ344" s="418"/>
      <c r="EA344" s="418"/>
      <c r="EB344" s="418"/>
      <c r="EC344" s="418"/>
      <c r="ED344" s="418"/>
      <c r="EE344" s="418"/>
      <c r="EF344" s="418"/>
      <c r="EG344" s="418"/>
      <c r="EH344" s="418"/>
      <c r="EI344" s="418"/>
      <c r="EJ344" s="418"/>
      <c r="EK344" s="418"/>
      <c r="EL344" s="418"/>
      <c r="EM344" s="418"/>
      <c r="EN344" s="418"/>
      <c r="EO344" s="418"/>
      <c r="EP344" s="418"/>
      <c r="EQ344" s="418"/>
      <c r="ER344" s="418"/>
      <c r="ES344" s="418"/>
      <c r="ET344" s="418"/>
      <c r="EU344" s="418"/>
      <c r="EV344" s="418"/>
      <c r="EW344" s="418"/>
      <c r="EX344" s="418"/>
      <c r="EY344" s="418"/>
      <c r="EZ344" s="418"/>
      <c r="FA344" s="418"/>
      <c r="FB344" s="418"/>
      <c r="FC344" s="418"/>
      <c r="FD344" s="418"/>
      <c r="FE344" s="418"/>
      <c r="FF344" s="418"/>
      <c r="FG344" s="418"/>
      <c r="FH344" s="418"/>
      <c r="FI344" s="418"/>
      <c r="FJ344" s="418"/>
      <c r="FK344" s="418"/>
      <c r="FL344" s="418"/>
      <c r="FM344" s="418"/>
      <c r="FN344" s="418"/>
      <c r="FO344" s="418"/>
      <c r="FP344" s="418"/>
      <c r="FQ344" s="418"/>
      <c r="FR344" s="418"/>
      <c r="FS344" s="418"/>
      <c r="FT344" s="418"/>
      <c r="FU344" s="418"/>
      <c r="FV344" s="418"/>
      <c r="FW344" s="418"/>
      <c r="FX344" s="418"/>
      <c r="FY344" s="418"/>
      <c r="FZ344" s="418"/>
      <c r="GA344" s="418"/>
      <c r="GB344" s="418"/>
      <c r="GC344" s="418"/>
      <c r="GD344" s="418"/>
      <c r="GE344" s="418"/>
    </row>
    <row r="345" spans="1:10" ht="15">
      <c r="A345" s="97" t="s">
        <v>160</v>
      </c>
      <c r="B345" s="98" t="s">
        <v>161</v>
      </c>
      <c r="C345" s="99">
        <v>100</v>
      </c>
      <c r="D345" s="219"/>
      <c r="E345" s="99"/>
      <c r="F345" s="99"/>
      <c r="G345" s="99"/>
      <c r="H345" s="99"/>
      <c r="I345" s="99"/>
      <c r="J345" s="99"/>
    </row>
    <row r="346" spans="1:10" ht="30.75" hidden="1">
      <c r="A346" s="92" t="s">
        <v>163</v>
      </c>
      <c r="B346" s="85" t="s">
        <v>162</v>
      </c>
      <c r="C346" s="80" t="s">
        <v>397</v>
      </c>
      <c r="D346" s="220"/>
      <c r="E346" s="86"/>
      <c r="F346" s="86"/>
      <c r="G346" s="86"/>
      <c r="H346" s="86"/>
      <c r="I346" s="86"/>
      <c r="J346" s="86"/>
    </row>
    <row r="347" spans="1:10" ht="15" hidden="1">
      <c r="A347" s="92" t="s">
        <v>164</v>
      </c>
      <c r="B347" s="85" t="s">
        <v>165</v>
      </c>
      <c r="C347" s="80" t="s">
        <v>397</v>
      </c>
      <c r="D347" s="220"/>
      <c r="E347" s="86"/>
      <c r="F347" s="86"/>
      <c r="G347" s="86"/>
      <c r="H347" s="86"/>
      <c r="I347" s="86"/>
      <c r="J347" s="86"/>
    </row>
    <row r="348" spans="1:10" ht="15" hidden="1">
      <c r="A348" s="92" t="s">
        <v>166</v>
      </c>
      <c r="B348" s="85" t="s">
        <v>167</v>
      </c>
      <c r="C348" s="80" t="s">
        <v>397</v>
      </c>
      <c r="D348" s="220"/>
      <c r="E348" s="86"/>
      <c r="F348" s="86"/>
      <c r="G348" s="86"/>
      <c r="H348" s="86"/>
      <c r="I348" s="86"/>
      <c r="J348" s="86"/>
    </row>
    <row r="349" spans="1:10" ht="15">
      <c r="A349" s="97" t="s">
        <v>168</v>
      </c>
      <c r="B349" s="98" t="s">
        <v>169</v>
      </c>
      <c r="C349" s="99" t="s">
        <v>35</v>
      </c>
      <c r="D349" s="219"/>
      <c r="E349" s="99"/>
      <c r="F349" s="99"/>
      <c r="G349" s="99"/>
      <c r="H349" s="99"/>
      <c r="I349" s="99"/>
      <c r="J349" s="99"/>
    </row>
    <row r="350" spans="1:10" ht="30.75" hidden="1">
      <c r="A350" s="92" t="s">
        <v>170</v>
      </c>
      <c r="B350" s="85" t="s">
        <v>171</v>
      </c>
      <c r="C350" s="80">
        <v>610</v>
      </c>
      <c r="D350" s="220"/>
      <c r="E350" s="86"/>
      <c r="F350" s="86"/>
      <c r="G350" s="86"/>
      <c r="H350" s="86"/>
      <c r="I350" s="86"/>
      <c r="J350" s="86"/>
    </row>
  </sheetData>
  <sheetProtection/>
  <mergeCells count="42">
    <mergeCell ref="I253:I254"/>
    <mergeCell ref="J253:J254"/>
    <mergeCell ref="A249:A254"/>
    <mergeCell ref="B249:B254"/>
    <mergeCell ref="C249:C254"/>
    <mergeCell ref="D249:J249"/>
    <mergeCell ref="D250:J251"/>
    <mergeCell ref="D252:D254"/>
    <mergeCell ref="E252:J252"/>
    <mergeCell ref="E253:F253"/>
    <mergeCell ref="G253:G254"/>
    <mergeCell ref="H253:H254"/>
    <mergeCell ref="D142:J142"/>
    <mergeCell ref="D143:J144"/>
    <mergeCell ref="D145:D147"/>
    <mergeCell ref="E145:J145"/>
    <mergeCell ref="E146:F146"/>
    <mergeCell ref="G146:G147"/>
    <mergeCell ref="H146:H147"/>
    <mergeCell ref="I146:I147"/>
    <mergeCell ref="A1:J1"/>
    <mergeCell ref="A2:J2"/>
    <mergeCell ref="B4:B9"/>
    <mergeCell ref="D7:D9"/>
    <mergeCell ref="H8:H9"/>
    <mergeCell ref="J8:J9"/>
    <mergeCell ref="A4:A9"/>
    <mergeCell ref="G8:G9"/>
    <mergeCell ref="C4:C9"/>
    <mergeCell ref="D4:J4"/>
    <mergeCell ref="D5:J6"/>
    <mergeCell ref="E7:J7"/>
    <mergeCell ref="E8:F8"/>
    <mergeCell ref="I8:I9"/>
    <mergeCell ref="A139:J139"/>
    <mergeCell ref="A140:J140"/>
    <mergeCell ref="A246:J246"/>
    <mergeCell ref="A247:J247"/>
    <mergeCell ref="A142:A147"/>
    <mergeCell ref="B142:B147"/>
    <mergeCell ref="C142:C147"/>
    <mergeCell ref="J146:J147"/>
  </mergeCells>
  <printOptions/>
  <pageMargins left="0.2362204724409449" right="0.2362204724409449" top="0.35433070866141736" bottom="0.35433070866141736" header="0.31496062992125984" footer="0.31496062992125984"/>
  <pageSetup fitToHeight="0" fitToWidth="1" horizontalDpi="600" verticalDpi="600" orientation="portrait" paperSize="9" scale="55" r:id="rId1"/>
  <rowBreaks count="2" manualBreakCount="2">
    <brk id="137" max="255" man="1"/>
    <brk id="244" max="255" man="1"/>
  </rowBreaks>
</worksheet>
</file>

<file path=xl/worksheets/sheet8.xml><?xml version="1.0" encoding="utf-8"?>
<worksheet xmlns="http://schemas.openxmlformats.org/spreadsheetml/2006/main" xmlns:r="http://schemas.openxmlformats.org/officeDocument/2006/relationships">
  <sheetPr>
    <tabColor theme="9"/>
    <pageSetUpPr fitToPage="1"/>
  </sheetPr>
  <dimension ref="A1:S57"/>
  <sheetViews>
    <sheetView view="pageBreakPreview" zoomScaleSheetLayoutView="100" zoomScalePageLayoutView="0" workbookViewId="0" topLeftCell="A1">
      <selection activeCell="H31" sqref="H31"/>
    </sheetView>
  </sheetViews>
  <sheetFormatPr defaultColWidth="9.140625" defaultRowHeight="15"/>
  <cols>
    <col min="1" max="1" width="3.8515625" style="6" customWidth="1"/>
    <col min="2" max="2" width="7.00390625" style="137" customWidth="1"/>
    <col min="3" max="3" width="49.7109375" style="138" customWidth="1"/>
    <col min="4" max="4" width="13.140625" style="137" customWidth="1"/>
    <col min="5" max="7" width="13.421875" style="137" customWidth="1"/>
    <col min="8" max="8" width="19.00390625" style="137" customWidth="1"/>
    <col min="9" max="9" width="18.57421875" style="137" customWidth="1"/>
    <col min="10" max="10" width="17.7109375" style="137" customWidth="1"/>
    <col min="11" max="11" width="17.421875" style="137" hidden="1" customWidth="1"/>
    <col min="12" max="16384" width="9.140625" style="6" customWidth="1"/>
  </cols>
  <sheetData>
    <row r="1" spans="2:19" ht="12.75" customHeight="1">
      <c r="B1" s="548"/>
      <c r="C1" s="548"/>
      <c r="D1" s="548"/>
      <c r="E1" s="548"/>
      <c r="F1" s="548"/>
      <c r="G1" s="548"/>
      <c r="H1" s="548"/>
      <c r="I1" s="548"/>
      <c r="J1" s="548"/>
      <c r="K1" s="548"/>
      <c r="L1" s="548"/>
      <c r="M1" s="548"/>
      <c r="N1" s="548"/>
      <c r="O1" s="548"/>
      <c r="P1" s="548"/>
      <c r="Q1" s="548"/>
      <c r="R1" s="548"/>
      <c r="S1" s="548"/>
    </row>
    <row r="2" spans="2:19" ht="16.5" customHeight="1">
      <c r="B2" s="549" t="s">
        <v>176</v>
      </c>
      <c r="C2" s="549"/>
      <c r="D2" s="549"/>
      <c r="E2" s="549"/>
      <c r="F2" s="549"/>
      <c r="G2" s="549"/>
      <c r="H2" s="549"/>
      <c r="I2" s="549"/>
      <c r="J2" s="549"/>
      <c r="K2" s="549"/>
      <c r="L2" s="128"/>
      <c r="M2" s="128"/>
      <c r="N2" s="128"/>
      <c r="O2" s="128"/>
      <c r="P2" s="127"/>
      <c r="Q2" s="127"/>
      <c r="R2" s="127"/>
      <c r="S2" s="127"/>
    </row>
    <row r="3" spans="2:11" ht="11.25" customHeight="1">
      <c r="B3" s="6"/>
      <c r="C3" s="6"/>
      <c r="D3" s="6"/>
      <c r="E3" s="6"/>
      <c r="F3" s="6"/>
      <c r="G3" s="6"/>
      <c r="H3" s="6"/>
      <c r="I3" s="6"/>
      <c r="J3" s="6"/>
      <c r="K3" s="6"/>
    </row>
    <row r="4" spans="2:11" s="130" customFormat="1" ht="14.25" customHeight="1">
      <c r="B4" s="550" t="s">
        <v>177</v>
      </c>
      <c r="C4" s="550" t="s">
        <v>0</v>
      </c>
      <c r="D4" s="550" t="s">
        <v>179</v>
      </c>
      <c r="E4" s="550" t="s">
        <v>180</v>
      </c>
      <c r="F4" s="555" t="s">
        <v>649</v>
      </c>
      <c r="G4" s="555" t="s">
        <v>650</v>
      </c>
      <c r="H4" s="552" t="s">
        <v>181</v>
      </c>
      <c r="I4" s="553"/>
      <c r="J4" s="554"/>
      <c r="K4" s="214"/>
    </row>
    <row r="5" spans="2:11" ht="58.5" customHeight="1">
      <c r="B5" s="551"/>
      <c r="C5" s="551"/>
      <c r="D5" s="551"/>
      <c r="E5" s="551"/>
      <c r="F5" s="556"/>
      <c r="G5" s="556"/>
      <c r="H5" s="133" t="s">
        <v>675</v>
      </c>
      <c r="I5" s="133" t="s">
        <v>676</v>
      </c>
      <c r="J5" s="133" t="s">
        <v>677</v>
      </c>
      <c r="K5" s="133" t="s">
        <v>182</v>
      </c>
    </row>
    <row r="6" spans="2:11" ht="10.5" customHeight="1">
      <c r="B6" s="139">
        <v>1</v>
      </c>
      <c r="C6" s="132">
        <v>2</v>
      </c>
      <c r="D6" s="132">
        <v>3</v>
      </c>
      <c r="E6" s="132">
        <v>4</v>
      </c>
      <c r="F6" s="132">
        <v>5</v>
      </c>
      <c r="G6" s="132">
        <v>6</v>
      </c>
      <c r="H6" s="133">
        <v>7</v>
      </c>
      <c r="I6" s="133">
        <v>8</v>
      </c>
      <c r="J6" s="133">
        <v>9</v>
      </c>
      <c r="K6" s="133">
        <v>8</v>
      </c>
    </row>
    <row r="7" spans="2:11" s="129" customFormat="1" ht="15.75" customHeight="1">
      <c r="B7" s="140" t="s">
        <v>207</v>
      </c>
      <c r="C7" s="134" t="s">
        <v>178</v>
      </c>
      <c r="D7" s="133">
        <v>26000</v>
      </c>
      <c r="E7" s="133" t="s">
        <v>35</v>
      </c>
      <c r="F7" s="133"/>
      <c r="G7" s="133"/>
      <c r="H7" s="229">
        <f>H12+H15+H19+H25</f>
        <v>15522956.14</v>
      </c>
      <c r="I7" s="229">
        <f>I12+I15+I19+I25</f>
        <v>11204237.32</v>
      </c>
      <c r="J7" s="229">
        <f>J12+J15+J19+J25</f>
        <v>11451317.32</v>
      </c>
      <c r="K7" s="133"/>
    </row>
    <row r="8" spans="2:11" ht="39.75" customHeight="1">
      <c r="B8" s="211" t="s">
        <v>184</v>
      </c>
      <c r="C8" s="212" t="s">
        <v>299</v>
      </c>
      <c r="D8" s="213">
        <v>26100</v>
      </c>
      <c r="E8" s="213" t="s">
        <v>35</v>
      </c>
      <c r="F8" s="213"/>
      <c r="G8" s="213"/>
      <c r="H8" s="230"/>
      <c r="I8" s="230"/>
      <c r="J8" s="230"/>
      <c r="K8" s="213"/>
    </row>
    <row r="9" spans="2:11" ht="24">
      <c r="B9" s="141" t="s">
        <v>185</v>
      </c>
      <c r="C9" s="136" t="s">
        <v>191</v>
      </c>
      <c r="D9" s="135"/>
      <c r="E9" s="135" t="s">
        <v>35</v>
      </c>
      <c r="F9" s="135"/>
      <c r="G9" s="135"/>
      <c r="H9" s="231"/>
      <c r="I9" s="231"/>
      <c r="J9" s="231"/>
      <c r="K9" s="135"/>
    </row>
    <row r="10" spans="2:11" ht="15">
      <c r="B10" s="141" t="s">
        <v>186</v>
      </c>
      <c r="C10" s="142" t="s">
        <v>192</v>
      </c>
      <c r="D10" s="135"/>
      <c r="E10" s="135" t="s">
        <v>35</v>
      </c>
      <c r="F10" s="135"/>
      <c r="G10" s="135"/>
      <c r="H10" s="231"/>
      <c r="I10" s="231"/>
      <c r="J10" s="231"/>
      <c r="K10" s="135"/>
    </row>
    <row r="11" spans="2:11" ht="24">
      <c r="B11" s="211" t="s">
        <v>187</v>
      </c>
      <c r="C11" s="212" t="s">
        <v>298</v>
      </c>
      <c r="D11" s="213">
        <v>26400</v>
      </c>
      <c r="E11" s="213" t="s">
        <v>35</v>
      </c>
      <c r="F11" s="213"/>
      <c r="G11" s="213"/>
      <c r="H11" s="230">
        <f>H7</f>
        <v>15522956.14</v>
      </c>
      <c r="I11" s="230">
        <f>I7</f>
        <v>11204237.32</v>
      </c>
      <c r="J11" s="230">
        <f>J7</f>
        <v>11451317.32</v>
      </c>
      <c r="K11" s="213"/>
    </row>
    <row r="12" spans="1:11" ht="36">
      <c r="A12" s="373"/>
      <c r="B12" s="420" t="s">
        <v>188</v>
      </c>
      <c r="C12" s="421" t="s">
        <v>183</v>
      </c>
      <c r="D12" s="411">
        <v>26410</v>
      </c>
      <c r="E12" s="411" t="s">
        <v>35</v>
      </c>
      <c r="F12" s="411"/>
      <c r="G12" s="135"/>
      <c r="H12" s="231">
        <f>H13</f>
        <v>10727060</v>
      </c>
      <c r="I12" s="231">
        <f>I13</f>
        <v>10980052</v>
      </c>
      <c r="J12" s="231">
        <f>J13</f>
        <v>11227132</v>
      </c>
      <c r="K12" s="135"/>
    </row>
    <row r="13" spans="1:11" ht="24">
      <c r="A13" s="373"/>
      <c r="B13" s="420" t="s">
        <v>189</v>
      </c>
      <c r="C13" s="421" t="s">
        <v>191</v>
      </c>
      <c r="D13" s="411">
        <v>26411</v>
      </c>
      <c r="E13" s="411" t="s">
        <v>35</v>
      </c>
      <c r="F13" s="411"/>
      <c r="G13" s="135"/>
      <c r="H13" s="231">
        <f>'Раздел 1. Поступления и выплаты'!E76+'Раздел 1. Поступления и выплаты'!F76</f>
        <v>10727060</v>
      </c>
      <c r="I13" s="231">
        <f>'Раздел 1. Поступления и выплаты'!E207+'Раздел 1. Поступления и выплаты'!F207</f>
        <v>10980052</v>
      </c>
      <c r="J13" s="231">
        <f>'Раздел 1. Поступления и выплаты'!E313+'Раздел 1. Поступления и выплаты'!F313</f>
        <v>11227132</v>
      </c>
      <c r="K13" s="135"/>
    </row>
    <row r="14" spans="1:11" ht="15">
      <c r="A14" s="373"/>
      <c r="B14" s="420" t="s">
        <v>190</v>
      </c>
      <c r="C14" s="422" t="s">
        <v>192</v>
      </c>
      <c r="D14" s="411">
        <v>26412</v>
      </c>
      <c r="E14" s="411" t="s">
        <v>35</v>
      </c>
      <c r="F14" s="411"/>
      <c r="G14" s="135"/>
      <c r="H14" s="231">
        <v>0</v>
      </c>
      <c r="I14" s="231">
        <v>0</v>
      </c>
      <c r="J14" s="231">
        <v>0</v>
      </c>
      <c r="K14" s="135"/>
    </row>
    <row r="15" spans="1:11" ht="36">
      <c r="A15" s="373"/>
      <c r="B15" s="420" t="s">
        <v>194</v>
      </c>
      <c r="C15" s="421" t="s">
        <v>193</v>
      </c>
      <c r="D15" s="411">
        <v>26420</v>
      </c>
      <c r="E15" s="411" t="s">
        <v>35</v>
      </c>
      <c r="F15" s="411"/>
      <c r="G15" s="135"/>
      <c r="H15" s="231">
        <f>H16</f>
        <v>4411303</v>
      </c>
      <c r="I15" s="231">
        <f>I16</f>
        <v>0</v>
      </c>
      <c r="J15" s="231">
        <f>J16</f>
        <v>0</v>
      </c>
      <c r="K15" s="135"/>
    </row>
    <row r="16" spans="1:11" ht="24">
      <c r="A16" s="373"/>
      <c r="B16" s="420" t="s">
        <v>195</v>
      </c>
      <c r="C16" s="421" t="s">
        <v>191</v>
      </c>
      <c r="D16" s="411">
        <v>26421</v>
      </c>
      <c r="E16" s="411" t="s">
        <v>35</v>
      </c>
      <c r="F16" s="411"/>
      <c r="G16" s="135"/>
      <c r="H16" s="231">
        <f>'Раздел 1. Поступления и выплаты'!G76</f>
        <v>4411303</v>
      </c>
      <c r="I16" s="231">
        <f>'Раздел 1. Поступления и выплаты'!G207</f>
        <v>0</v>
      </c>
      <c r="J16" s="231">
        <f>'Раздел 1. Поступления и выплаты'!G313</f>
        <v>0</v>
      </c>
      <c r="K16" s="135"/>
    </row>
    <row r="17" spans="1:11" ht="15">
      <c r="A17" s="373"/>
      <c r="B17" s="420"/>
      <c r="C17" s="423" t="s">
        <v>668</v>
      </c>
      <c r="D17" s="411" t="s">
        <v>652</v>
      </c>
      <c r="E17" s="411" t="s">
        <v>35</v>
      </c>
      <c r="F17" s="424"/>
      <c r="G17" s="135"/>
      <c r="H17" s="231">
        <f>H16</f>
        <v>4411303</v>
      </c>
      <c r="I17" s="231"/>
      <c r="J17" s="231"/>
      <c r="K17" s="135"/>
    </row>
    <row r="18" spans="1:11" ht="15">
      <c r="A18" s="373"/>
      <c r="B18" s="420" t="s">
        <v>196</v>
      </c>
      <c r="C18" s="422" t="s">
        <v>192</v>
      </c>
      <c r="D18" s="411">
        <v>26422</v>
      </c>
      <c r="E18" s="411" t="s">
        <v>35</v>
      </c>
      <c r="F18" s="411"/>
      <c r="G18" s="135"/>
      <c r="H18" s="231">
        <v>0</v>
      </c>
      <c r="I18" s="231">
        <v>0</v>
      </c>
      <c r="J18" s="231">
        <v>0</v>
      </c>
      <c r="K18" s="135"/>
    </row>
    <row r="19" spans="1:11" ht="24">
      <c r="A19" s="373"/>
      <c r="B19" s="420" t="s">
        <v>197</v>
      </c>
      <c r="C19" s="421" t="s">
        <v>225</v>
      </c>
      <c r="D19" s="411">
        <v>26430</v>
      </c>
      <c r="E19" s="411" t="s">
        <v>35</v>
      </c>
      <c r="F19" s="411"/>
      <c r="G19" s="135"/>
      <c r="H19" s="231"/>
      <c r="I19" s="231"/>
      <c r="J19" s="231"/>
      <c r="K19" s="135"/>
    </row>
    <row r="20" spans="1:11" ht="15" hidden="1">
      <c r="A20" s="373"/>
      <c r="B20" s="420" t="s">
        <v>198</v>
      </c>
      <c r="C20" s="421" t="s">
        <v>201</v>
      </c>
      <c r="D20" s="411">
        <v>26440</v>
      </c>
      <c r="E20" s="411" t="s">
        <v>35</v>
      </c>
      <c r="F20" s="411"/>
      <c r="G20" s="135"/>
      <c r="H20" s="231"/>
      <c r="I20" s="231"/>
      <c r="J20" s="231"/>
      <c r="K20" s="135"/>
    </row>
    <row r="21" spans="1:11" ht="15">
      <c r="A21" s="373"/>
      <c r="B21" s="420"/>
      <c r="C21" s="423" t="s">
        <v>651</v>
      </c>
      <c r="D21" s="411" t="s">
        <v>653</v>
      </c>
      <c r="E21" s="411" t="s">
        <v>35</v>
      </c>
      <c r="F21" s="411"/>
      <c r="G21" s="135"/>
      <c r="H21" s="231"/>
      <c r="I21" s="231"/>
      <c r="J21" s="231"/>
      <c r="K21" s="135"/>
    </row>
    <row r="22" spans="1:11" ht="15">
      <c r="A22" s="373"/>
      <c r="B22" s="420"/>
      <c r="C22" s="423" t="s">
        <v>657</v>
      </c>
      <c r="D22" s="411" t="s">
        <v>654</v>
      </c>
      <c r="E22" s="411" t="s">
        <v>35</v>
      </c>
      <c r="F22" s="411"/>
      <c r="G22" s="135"/>
      <c r="H22" s="231"/>
      <c r="I22" s="231"/>
      <c r="J22" s="231"/>
      <c r="K22" s="135"/>
    </row>
    <row r="23" spans="1:11" ht="24">
      <c r="A23" s="373"/>
      <c r="B23" s="420" t="s">
        <v>301</v>
      </c>
      <c r="C23" s="421" t="s">
        <v>191</v>
      </c>
      <c r="D23" s="411">
        <v>26441</v>
      </c>
      <c r="E23" s="411" t="s">
        <v>35</v>
      </c>
      <c r="F23" s="411"/>
      <c r="G23" s="135"/>
      <c r="H23" s="231"/>
      <c r="I23" s="231"/>
      <c r="J23" s="231"/>
      <c r="K23" s="135"/>
    </row>
    <row r="24" spans="1:11" ht="14.25" customHeight="1">
      <c r="A24" s="373"/>
      <c r="B24" s="420" t="s">
        <v>302</v>
      </c>
      <c r="C24" s="421" t="s">
        <v>203</v>
      </c>
      <c r="D24" s="411">
        <v>26442</v>
      </c>
      <c r="E24" s="411" t="s">
        <v>35</v>
      </c>
      <c r="F24" s="411"/>
      <c r="G24" s="135"/>
      <c r="H24" s="231"/>
      <c r="I24" s="231"/>
      <c r="J24" s="231"/>
      <c r="K24" s="135"/>
    </row>
    <row r="25" spans="1:11" ht="15">
      <c r="A25" s="373"/>
      <c r="B25" s="420" t="s">
        <v>198</v>
      </c>
      <c r="C25" s="421" t="s">
        <v>202</v>
      </c>
      <c r="D25" s="411">
        <v>26450</v>
      </c>
      <c r="E25" s="411" t="s">
        <v>35</v>
      </c>
      <c r="F25" s="411"/>
      <c r="G25" s="135"/>
      <c r="H25" s="231">
        <f>H26</f>
        <v>384593.14</v>
      </c>
      <c r="I25" s="231">
        <f>I26</f>
        <v>224185.32</v>
      </c>
      <c r="J25" s="231">
        <f>J26</f>
        <v>224185.32</v>
      </c>
      <c r="K25" s="231">
        <f>'Раздел 1. Поступления и выплаты'!K76</f>
        <v>0</v>
      </c>
    </row>
    <row r="26" spans="1:11" ht="24">
      <c r="A26" s="373"/>
      <c r="B26" s="420" t="s">
        <v>199</v>
      </c>
      <c r="C26" s="421" t="s">
        <v>191</v>
      </c>
      <c r="D26" s="411">
        <v>26451</v>
      </c>
      <c r="E26" s="411" t="s">
        <v>35</v>
      </c>
      <c r="F26" s="411"/>
      <c r="G26" s="135"/>
      <c r="H26" s="231">
        <f>'Раздел 1. Поступления и выплаты'!H76</f>
        <v>384593.14</v>
      </c>
      <c r="I26" s="231">
        <f>'Раздел 1. Поступления и выплаты'!H207</f>
        <v>224185.32</v>
      </c>
      <c r="J26" s="231">
        <f>'Раздел 1. Поступления и выплаты'!H313</f>
        <v>224185.32</v>
      </c>
      <c r="K26" s="135"/>
    </row>
    <row r="27" spans="1:11" ht="15">
      <c r="A27" s="373"/>
      <c r="B27" s="420"/>
      <c r="C27" s="423" t="s">
        <v>651</v>
      </c>
      <c r="D27" s="411" t="s">
        <v>655</v>
      </c>
      <c r="E27" s="411" t="s">
        <v>35</v>
      </c>
      <c r="F27" s="411"/>
      <c r="G27" s="135"/>
      <c r="H27" s="231"/>
      <c r="I27" s="231"/>
      <c r="J27" s="231"/>
      <c r="K27" s="135"/>
    </row>
    <row r="28" spans="1:11" ht="15">
      <c r="A28" s="373"/>
      <c r="B28" s="420"/>
      <c r="C28" s="423" t="s">
        <v>657</v>
      </c>
      <c r="D28" s="411" t="s">
        <v>656</v>
      </c>
      <c r="E28" s="411" t="s">
        <v>35</v>
      </c>
      <c r="F28" s="411"/>
      <c r="G28" s="135"/>
      <c r="H28" s="231"/>
      <c r="I28" s="231"/>
      <c r="J28" s="231"/>
      <c r="K28" s="135"/>
    </row>
    <row r="29" spans="1:11" ht="15">
      <c r="A29" s="373"/>
      <c r="B29" s="420" t="s">
        <v>200</v>
      </c>
      <c r="C29" s="421" t="s">
        <v>203</v>
      </c>
      <c r="D29" s="411">
        <v>26452</v>
      </c>
      <c r="E29" s="411" t="s">
        <v>35</v>
      </c>
      <c r="F29" s="411"/>
      <c r="G29" s="135"/>
      <c r="H29" s="231"/>
      <c r="I29" s="231"/>
      <c r="J29" s="231"/>
      <c r="K29" s="135"/>
    </row>
    <row r="30" spans="2:11" s="129" customFormat="1" ht="36.75" customHeight="1">
      <c r="B30" s="140" t="s">
        <v>204</v>
      </c>
      <c r="C30" s="143" t="s">
        <v>205</v>
      </c>
      <c r="D30" s="133">
        <v>26500</v>
      </c>
      <c r="E30" s="133" t="s">
        <v>35</v>
      </c>
      <c r="F30" s="133"/>
      <c r="G30" s="133"/>
      <c r="H30" s="229">
        <f>H31</f>
        <v>15522956.14</v>
      </c>
      <c r="I30" s="229">
        <f>I7</f>
        <v>11204237.32</v>
      </c>
      <c r="J30" s="229">
        <f>J7</f>
        <v>11451317.32</v>
      </c>
      <c r="K30" s="133"/>
    </row>
    <row r="31" spans="2:11" ht="24.75" customHeight="1">
      <c r="B31" s="141"/>
      <c r="C31" s="142" t="s">
        <v>731</v>
      </c>
      <c r="D31" s="135">
        <v>26510</v>
      </c>
      <c r="E31" s="135"/>
      <c r="F31" s="135"/>
      <c r="G31" s="135"/>
      <c r="H31" s="231">
        <f>H13+H16+H23+H26</f>
        <v>15522956.14</v>
      </c>
      <c r="I31" s="231"/>
      <c r="J31" s="231"/>
      <c r="K31" s="135"/>
    </row>
    <row r="32" spans="2:11" ht="13.5" customHeight="1">
      <c r="B32" s="141"/>
      <c r="C32" s="142" t="s">
        <v>548</v>
      </c>
      <c r="D32" s="135">
        <v>26610</v>
      </c>
      <c r="E32" s="135"/>
      <c r="F32" s="135"/>
      <c r="G32" s="135"/>
      <c r="H32" s="231"/>
      <c r="I32" s="231">
        <f>I30</f>
        <v>11204237.32</v>
      </c>
      <c r="J32" s="231"/>
      <c r="K32" s="135"/>
    </row>
    <row r="33" spans="2:11" ht="13.5" customHeight="1">
      <c r="B33" s="141"/>
      <c r="C33" s="142" t="s">
        <v>662</v>
      </c>
      <c r="D33" s="135">
        <v>26620</v>
      </c>
      <c r="E33" s="135"/>
      <c r="F33" s="135"/>
      <c r="G33" s="135"/>
      <c r="H33" s="231"/>
      <c r="I33" s="231"/>
      <c r="J33" s="231">
        <f>J7</f>
        <v>11451317.32</v>
      </c>
      <c r="K33" s="135"/>
    </row>
    <row r="34" spans="2:11" s="129" customFormat="1" ht="37.5" customHeight="1">
      <c r="B34" s="140" t="s">
        <v>38</v>
      </c>
      <c r="C34" s="143" t="s">
        <v>208</v>
      </c>
      <c r="D34" s="133">
        <v>26600</v>
      </c>
      <c r="E34" s="133" t="s">
        <v>35</v>
      </c>
      <c r="F34" s="133"/>
      <c r="G34" s="133"/>
      <c r="H34" s="229">
        <f>H35</f>
        <v>0</v>
      </c>
      <c r="I34" s="229">
        <f>I35</f>
        <v>0</v>
      </c>
      <c r="J34" s="229">
        <f>J35</f>
        <v>0</v>
      </c>
      <c r="K34" s="133"/>
    </row>
    <row r="35" spans="2:11" ht="14.25" customHeight="1">
      <c r="B35" s="141"/>
      <c r="C35" s="136" t="s">
        <v>206</v>
      </c>
      <c r="D35" s="135">
        <v>26610</v>
      </c>
      <c r="E35" s="135"/>
      <c r="F35" s="135"/>
      <c r="G35" s="135"/>
      <c r="H35" s="231">
        <f>H14+H18+H29</f>
        <v>0</v>
      </c>
      <c r="I35" s="231">
        <f>I14+I18+I29</f>
        <v>0</v>
      </c>
      <c r="J35" s="231">
        <f>J14+J18+J29</f>
        <v>0</v>
      </c>
      <c r="K35" s="135"/>
    </row>
    <row r="36" spans="2:11" ht="15">
      <c r="B36" s="144"/>
      <c r="C36" s="145"/>
      <c r="D36" s="146"/>
      <c r="E36" s="146"/>
      <c r="F36" s="146"/>
      <c r="G36" s="146"/>
      <c r="H36" s="146"/>
      <c r="I36" s="146"/>
      <c r="J36" s="146"/>
      <c r="K36" s="146"/>
    </row>
    <row r="37" spans="2:11" ht="15">
      <c r="B37" s="144"/>
      <c r="C37" s="145"/>
      <c r="D37" s="146"/>
      <c r="E37" s="146"/>
      <c r="F37" s="146"/>
      <c r="G37" s="146"/>
      <c r="H37" s="146"/>
      <c r="I37" s="146"/>
      <c r="J37" s="146"/>
      <c r="K37" s="146"/>
    </row>
    <row r="38" spans="2:10" ht="16.5" customHeight="1">
      <c r="B38" s="545" t="s">
        <v>209</v>
      </c>
      <c r="C38" s="545"/>
      <c r="D38" s="232"/>
      <c r="E38" s="232"/>
      <c r="F38" s="232"/>
      <c r="G38" s="232"/>
      <c r="H38" s="232"/>
      <c r="I38" s="232"/>
      <c r="J38" s="232"/>
    </row>
    <row r="39" spans="2:10" ht="17.25" customHeight="1">
      <c r="B39" s="545"/>
      <c r="C39" s="545"/>
      <c r="D39" s="546" t="s">
        <v>412</v>
      </c>
      <c r="E39" s="547"/>
      <c r="F39" s="392"/>
      <c r="G39" s="392"/>
      <c r="H39" s="235" t="s">
        <v>212</v>
      </c>
      <c r="I39" s="542" t="s">
        <v>434</v>
      </c>
      <c r="J39" s="543"/>
    </row>
    <row r="40" spans="2:11" s="234" customFormat="1" ht="12" customHeight="1">
      <c r="B40" s="545"/>
      <c r="C40" s="545"/>
      <c r="D40" s="544" t="s">
        <v>210</v>
      </c>
      <c r="E40" s="544"/>
      <c r="F40" s="137"/>
      <c r="G40" s="137"/>
      <c r="H40" s="137" t="s">
        <v>211</v>
      </c>
      <c r="I40" s="544" t="s">
        <v>213</v>
      </c>
      <c r="J40" s="544"/>
      <c r="K40" s="137"/>
    </row>
    <row r="41" spans="2:10" ht="15">
      <c r="B41" s="232"/>
      <c r="C41" s="131"/>
      <c r="D41" s="232"/>
      <c r="E41" s="232"/>
      <c r="F41" s="232"/>
      <c r="G41" s="232"/>
      <c r="H41" s="232"/>
      <c r="I41" s="232"/>
      <c r="J41" s="232"/>
    </row>
    <row r="42" spans="2:10" ht="15">
      <c r="B42" s="545" t="s">
        <v>214</v>
      </c>
      <c r="C42" s="545"/>
      <c r="D42" s="232"/>
      <c r="E42" s="232"/>
      <c r="F42" s="232"/>
      <c r="G42" s="232"/>
      <c r="H42" s="232"/>
      <c r="I42" s="232"/>
      <c r="J42" s="232"/>
    </row>
    <row r="43" spans="2:10" ht="15">
      <c r="B43" s="545"/>
      <c r="C43" s="545"/>
      <c r="D43" s="542" t="s">
        <v>437</v>
      </c>
      <c r="E43" s="543"/>
      <c r="F43" s="235"/>
      <c r="G43" s="235"/>
      <c r="H43" s="542" t="s">
        <v>436</v>
      </c>
      <c r="I43" s="543"/>
      <c r="J43" s="236" t="s">
        <v>435</v>
      </c>
    </row>
    <row r="44" spans="2:11" s="234" customFormat="1" ht="12.75" customHeight="1">
      <c r="B44" s="545"/>
      <c r="C44" s="545"/>
      <c r="D44" s="544" t="s">
        <v>210</v>
      </c>
      <c r="E44" s="544"/>
      <c r="F44" s="137"/>
      <c r="G44" s="137"/>
      <c r="H44" s="544" t="s">
        <v>215</v>
      </c>
      <c r="I44" s="544"/>
      <c r="J44" s="137" t="s">
        <v>216</v>
      </c>
      <c r="K44" s="137"/>
    </row>
    <row r="45" spans="2:10" ht="15">
      <c r="B45" s="232"/>
      <c r="C45" s="131"/>
      <c r="D45" s="232"/>
      <c r="E45" s="232"/>
      <c r="F45" s="232"/>
      <c r="G45" s="232"/>
      <c r="H45" s="232"/>
      <c r="I45" s="232"/>
      <c r="J45" s="232"/>
    </row>
    <row r="46" spans="2:10" ht="15">
      <c r="B46" s="233"/>
      <c r="C46" s="264" t="str">
        <f>'Пр.1Титульный лист'!L15</f>
        <v>22.12.2023</v>
      </c>
      <c r="D46" s="232"/>
      <c r="E46" s="232"/>
      <c r="F46" s="232"/>
      <c r="G46" s="232"/>
      <c r="H46" s="232"/>
      <c r="I46" s="232"/>
      <c r="J46" s="232"/>
    </row>
    <row r="48" spans="3:11" ht="15">
      <c r="C48" s="137"/>
      <c r="E48" s="6"/>
      <c r="F48" s="6"/>
      <c r="G48" s="6"/>
      <c r="H48" s="6"/>
      <c r="I48" s="6"/>
      <c r="J48" s="6"/>
      <c r="K48" s="6"/>
    </row>
    <row r="49" spans="3:11" ht="15">
      <c r="C49" s="137"/>
      <c r="E49" s="6"/>
      <c r="F49" s="6"/>
      <c r="G49" s="6"/>
      <c r="H49" s="263"/>
      <c r="I49" s="6"/>
      <c r="J49" s="6"/>
      <c r="K49" s="6"/>
    </row>
    <row r="50" spans="3:11" ht="15">
      <c r="C50" s="137"/>
      <c r="E50" s="6"/>
      <c r="F50" s="6"/>
      <c r="G50" s="6"/>
      <c r="H50" s="6"/>
      <c r="I50" s="6"/>
      <c r="J50" s="6"/>
      <c r="K50" s="6"/>
    </row>
    <row r="51" spans="3:11" ht="15.75" customHeight="1">
      <c r="C51" s="137"/>
      <c r="E51" s="6"/>
      <c r="F51" s="6"/>
      <c r="G51" s="6"/>
      <c r="H51" s="6"/>
      <c r="I51" s="6"/>
      <c r="J51" s="6"/>
      <c r="K51" s="6"/>
    </row>
    <row r="52" spans="3:11" ht="15">
      <c r="C52" s="137"/>
      <c r="E52" s="6"/>
      <c r="F52" s="6"/>
      <c r="G52" s="6"/>
      <c r="H52" s="6"/>
      <c r="I52" s="6"/>
      <c r="J52" s="6"/>
      <c r="K52" s="6"/>
    </row>
    <row r="53" spans="3:11" ht="15.75" customHeight="1">
      <c r="C53" s="137"/>
      <c r="E53" s="6"/>
      <c r="F53" s="6"/>
      <c r="G53" s="6"/>
      <c r="H53" s="6"/>
      <c r="I53" s="6"/>
      <c r="J53" s="6"/>
      <c r="K53" s="6"/>
    </row>
    <row r="54" spans="3:11" ht="15.75" customHeight="1">
      <c r="C54" s="137"/>
      <c r="E54" s="6"/>
      <c r="F54" s="6"/>
      <c r="G54" s="6"/>
      <c r="H54" s="6"/>
      <c r="I54" s="6"/>
      <c r="J54" s="6"/>
      <c r="K54" s="6"/>
    </row>
    <row r="55" spans="3:11" ht="15">
      <c r="C55" s="137"/>
      <c r="E55" s="6"/>
      <c r="F55" s="6"/>
      <c r="G55" s="6"/>
      <c r="H55" s="6"/>
      <c r="I55" s="6"/>
      <c r="J55" s="6"/>
      <c r="K55" s="6"/>
    </row>
    <row r="56" spans="3:11" ht="15">
      <c r="C56" s="137"/>
      <c r="E56" s="6"/>
      <c r="F56" s="6"/>
      <c r="G56" s="6"/>
      <c r="H56" s="6"/>
      <c r="I56" s="6"/>
      <c r="J56" s="6"/>
      <c r="K56" s="6"/>
    </row>
    <row r="57" spans="3:11" ht="15">
      <c r="C57" s="137"/>
      <c r="E57" s="6"/>
      <c r="F57" s="6"/>
      <c r="G57" s="6"/>
      <c r="H57" s="6"/>
      <c r="I57" s="6"/>
      <c r="J57" s="6"/>
      <c r="K57" s="6"/>
    </row>
  </sheetData>
  <sheetProtection/>
  <mergeCells count="19">
    <mergeCell ref="B1:S1"/>
    <mergeCell ref="B2:K2"/>
    <mergeCell ref="B4:B5"/>
    <mergeCell ref="C4:C5"/>
    <mergeCell ref="D4:D5"/>
    <mergeCell ref="E4:E5"/>
    <mergeCell ref="H4:J4"/>
    <mergeCell ref="F4:F5"/>
    <mergeCell ref="G4:G5"/>
    <mergeCell ref="I39:J39"/>
    <mergeCell ref="I40:J40"/>
    <mergeCell ref="B38:C40"/>
    <mergeCell ref="B42:C44"/>
    <mergeCell ref="D43:E43"/>
    <mergeCell ref="D44:E44"/>
    <mergeCell ref="H43:I43"/>
    <mergeCell ref="H44:I44"/>
    <mergeCell ref="D39:E39"/>
    <mergeCell ref="D40:E40"/>
  </mergeCells>
  <printOptions/>
  <pageMargins left="0.1968503937007874" right="0.1968503937007874" top="0.1968503937007874" bottom="0.1968503937007874" header="0.31496062992125984" footer="0.31496062992125984"/>
  <pageSetup fitToHeight="1"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K552"/>
  <sheetViews>
    <sheetView tabSelected="1" view="pageBreakPreview" zoomScaleSheetLayoutView="100" zoomScalePageLayoutView="0" workbookViewId="0" topLeftCell="A5">
      <selection activeCell="B17" sqref="B17:G17"/>
    </sheetView>
  </sheetViews>
  <sheetFormatPr defaultColWidth="9.140625" defaultRowHeight="15"/>
  <cols>
    <col min="1" max="1" width="4.8515625" style="131" customWidth="1"/>
    <col min="2" max="2" width="15.140625" style="147" customWidth="1"/>
    <col min="3" max="3" width="22.421875" style="147" customWidth="1"/>
    <col min="4" max="4" width="20.28125" style="147" customWidth="1"/>
    <col min="5" max="5" width="19.7109375" style="147" customWidth="1"/>
    <col min="6" max="6" width="16.8515625" style="147" customWidth="1"/>
    <col min="7" max="7" width="17.7109375" style="366" customWidth="1"/>
    <col min="8" max="8" width="16.140625" style="131" customWidth="1"/>
    <col min="9" max="9" width="13.421875" style="6" bestFit="1" customWidth="1"/>
    <col min="10" max="10" width="15.421875" style="6" bestFit="1" customWidth="1"/>
    <col min="11" max="11" width="13.140625" style="6" bestFit="1" customWidth="1"/>
    <col min="12" max="16384" width="9.140625" style="6" customWidth="1"/>
  </cols>
  <sheetData>
    <row r="1" spans="7:8" ht="15" hidden="1">
      <c r="G1" s="589" t="s">
        <v>217</v>
      </c>
      <c r="H1" s="589"/>
    </row>
    <row r="2" spans="2:8" ht="15.75" customHeight="1" hidden="1">
      <c r="B2" s="131"/>
      <c r="C2" s="131"/>
      <c r="D2" s="131"/>
      <c r="E2" s="131"/>
      <c r="F2" s="590" t="s">
        <v>218</v>
      </c>
      <c r="G2" s="590"/>
      <c r="H2" s="590"/>
    </row>
    <row r="3" spans="2:8" ht="15" hidden="1">
      <c r="B3" s="131"/>
      <c r="C3" s="131"/>
      <c r="D3" s="131"/>
      <c r="E3" s="131"/>
      <c r="F3" s="590"/>
      <c r="G3" s="590"/>
      <c r="H3" s="590"/>
    </row>
    <row r="4" spans="2:8" ht="49.5" customHeight="1" hidden="1">
      <c r="B4" s="131"/>
      <c r="C4" s="131"/>
      <c r="D4" s="131"/>
      <c r="E4" s="131"/>
      <c r="F4" s="590"/>
      <c r="G4" s="590"/>
      <c r="H4" s="590"/>
    </row>
    <row r="5" spans="2:8" ht="14.25" customHeight="1">
      <c r="B5" s="131"/>
      <c r="C5" s="131"/>
      <c r="D5" s="131"/>
      <c r="E5" s="131"/>
      <c r="F5" s="148"/>
      <c r="G5" s="361"/>
      <c r="H5" s="265" t="str">
        <f>'Пр.1Титульный лист'!L15</f>
        <v>22.12.2023</v>
      </c>
    </row>
    <row r="6" spans="2:8" ht="15">
      <c r="B6" s="577" t="s">
        <v>712</v>
      </c>
      <c r="C6" s="577"/>
      <c r="D6" s="577"/>
      <c r="E6" s="577"/>
      <c r="F6" s="577"/>
      <c r="G6" s="577"/>
      <c r="H6" s="577"/>
    </row>
    <row r="7" spans="2:8" ht="15">
      <c r="B7" s="577" t="s">
        <v>13</v>
      </c>
      <c r="C7" s="577"/>
      <c r="D7" s="577"/>
      <c r="E7" s="577"/>
      <c r="F7" s="577"/>
      <c r="G7" s="577"/>
      <c r="H7" s="577"/>
    </row>
    <row r="8" spans="2:8" ht="15">
      <c r="B8" s="591" t="s">
        <v>962</v>
      </c>
      <c r="C8" s="577"/>
      <c r="D8" s="577"/>
      <c r="E8" s="577"/>
      <c r="F8" s="577"/>
      <c r="G8" s="577"/>
      <c r="H8" s="577"/>
    </row>
    <row r="9" spans="2:8" ht="16.5" customHeight="1">
      <c r="B9" s="594" t="s">
        <v>601</v>
      </c>
      <c r="C9" s="594"/>
      <c r="D9" s="594"/>
      <c r="E9" s="594"/>
      <c r="F9" s="594"/>
      <c r="G9" s="594"/>
      <c r="H9" s="594"/>
    </row>
    <row r="10" spans="2:8" ht="15">
      <c r="B10" s="577" t="s">
        <v>259</v>
      </c>
      <c r="C10" s="577"/>
      <c r="D10" s="577"/>
      <c r="E10" s="577"/>
      <c r="F10" s="577"/>
      <c r="G10" s="577"/>
      <c r="H10" s="577"/>
    </row>
    <row r="11" spans="2:8" ht="15">
      <c r="B11" s="595" t="s">
        <v>219</v>
      </c>
      <c r="C11" s="595"/>
      <c r="D11" s="595"/>
      <c r="E11" s="595"/>
      <c r="F11" s="595"/>
      <c r="G11" s="595"/>
      <c r="H11" s="595"/>
    </row>
    <row r="12" spans="2:8" ht="15">
      <c r="B12" s="577" t="s">
        <v>439</v>
      </c>
      <c r="C12" s="577"/>
      <c r="D12" s="577"/>
      <c r="E12" s="577"/>
      <c r="F12" s="577"/>
      <c r="G12" s="577"/>
      <c r="H12" s="577"/>
    </row>
    <row r="13" spans="2:11" ht="48" customHeight="1">
      <c r="B13" s="592" t="s">
        <v>324</v>
      </c>
      <c r="C13" s="593"/>
      <c r="D13" s="592" t="s">
        <v>19</v>
      </c>
      <c r="E13" s="593"/>
      <c r="F13" s="592" t="s">
        <v>325</v>
      </c>
      <c r="G13" s="593"/>
      <c r="H13" s="596" t="s">
        <v>326</v>
      </c>
      <c r="J13" s="245"/>
      <c r="K13" s="245"/>
    </row>
    <row r="14" spans="2:8" ht="15">
      <c r="B14" s="152" t="s">
        <v>16</v>
      </c>
      <c r="C14" s="152" t="s">
        <v>17</v>
      </c>
      <c r="D14" s="152" t="s">
        <v>16</v>
      </c>
      <c r="E14" s="152" t="s">
        <v>17</v>
      </c>
      <c r="F14" s="152" t="s">
        <v>16</v>
      </c>
      <c r="G14" s="321" t="s">
        <v>17</v>
      </c>
      <c r="H14" s="597"/>
    </row>
    <row r="15" spans="2:8" ht="15">
      <c r="B15" s="152">
        <v>1</v>
      </c>
      <c r="C15" s="152">
        <v>2</v>
      </c>
      <c r="D15" s="152">
        <v>3</v>
      </c>
      <c r="E15" s="152">
        <v>4</v>
      </c>
      <c r="F15" s="152">
        <v>5</v>
      </c>
      <c r="G15" s="321">
        <v>6</v>
      </c>
      <c r="H15" s="153">
        <v>7</v>
      </c>
    </row>
    <row r="16" spans="2:10" ht="17.25" customHeight="1">
      <c r="B16" s="257">
        <v>525882.8</v>
      </c>
      <c r="C16" s="257">
        <f>B16*12</f>
        <v>6310593.600000001</v>
      </c>
      <c r="D16" s="258">
        <f>H16/12</f>
        <v>550633.6408333334</v>
      </c>
      <c r="E16" s="258">
        <f>H16</f>
        <v>6607603.69</v>
      </c>
      <c r="F16" s="258">
        <v>439976.9</v>
      </c>
      <c r="G16" s="258">
        <f>F16*12</f>
        <v>5279722.800000001</v>
      </c>
      <c r="H16" s="259">
        <v>6607603.69</v>
      </c>
      <c r="I16" s="245"/>
      <c r="J16" s="245"/>
    </row>
    <row r="17" spans="2:10" ht="15">
      <c r="B17" s="598" t="s">
        <v>233</v>
      </c>
      <c r="C17" s="599"/>
      <c r="D17" s="599"/>
      <c r="E17" s="599"/>
      <c r="F17" s="599"/>
      <c r="G17" s="600"/>
      <c r="H17" s="453">
        <f>H16</f>
        <v>6607603.69</v>
      </c>
      <c r="I17" s="245"/>
      <c r="J17" s="245"/>
    </row>
    <row r="18" spans="2:10" ht="15" hidden="1">
      <c r="B18" s="603" t="s">
        <v>833</v>
      </c>
      <c r="C18" s="603"/>
      <c r="D18" s="603"/>
      <c r="E18" s="603"/>
      <c r="F18" s="603"/>
      <c r="G18" s="603"/>
      <c r="H18" s="465">
        <v>0</v>
      </c>
      <c r="I18" s="245"/>
      <c r="J18" s="245"/>
    </row>
    <row r="19" spans="2:10" ht="15">
      <c r="B19" s="566" t="s">
        <v>233</v>
      </c>
      <c r="C19" s="566"/>
      <c r="D19" s="566"/>
      <c r="E19" s="566"/>
      <c r="F19" s="566"/>
      <c r="G19" s="566"/>
      <c r="H19" s="157">
        <f>H17-H18</f>
        <v>6607603.69</v>
      </c>
      <c r="I19" s="245"/>
      <c r="J19" s="245"/>
    </row>
    <row r="20" spans="2:11" ht="36.75" customHeight="1">
      <c r="B20" s="601" t="s">
        <v>963</v>
      </c>
      <c r="C20" s="602"/>
      <c r="D20" s="602"/>
      <c r="E20" s="602"/>
      <c r="F20" s="602"/>
      <c r="G20" s="602"/>
      <c r="H20" s="602"/>
      <c r="J20" s="301"/>
      <c r="K20" s="302"/>
    </row>
    <row r="21" spans="2:10" ht="15">
      <c r="B21" s="613" t="s">
        <v>964</v>
      </c>
      <c r="C21" s="614"/>
      <c r="D21" s="614"/>
      <c r="E21" s="614"/>
      <c r="F21" s="614"/>
      <c r="G21" s="614"/>
      <c r="H21" s="614"/>
      <c r="J21" s="301"/>
    </row>
    <row r="22" spans="1:8" s="8" customFormat="1" ht="27.75" customHeight="1">
      <c r="A22" s="147"/>
      <c r="B22" s="582" t="s">
        <v>260</v>
      </c>
      <c r="C22" s="582"/>
      <c r="D22" s="582"/>
      <c r="E22" s="582"/>
      <c r="F22" s="582"/>
      <c r="G22" s="582"/>
      <c r="H22" s="163"/>
    </row>
    <row r="23" spans="1:8" s="8" customFormat="1" ht="30.75">
      <c r="A23" s="147"/>
      <c r="B23" s="50" t="s">
        <v>33</v>
      </c>
      <c r="C23" s="533" t="s">
        <v>40</v>
      </c>
      <c r="D23" s="535"/>
      <c r="E23" s="50" t="s">
        <v>45</v>
      </c>
      <c r="F23" s="50" t="s">
        <v>46</v>
      </c>
      <c r="G23" s="256" t="s">
        <v>47</v>
      </c>
      <c r="H23" s="163"/>
    </row>
    <row r="24" spans="1:8" s="8" customFormat="1" ht="30.75" customHeight="1">
      <c r="A24" s="147"/>
      <c r="B24" s="50">
        <v>1</v>
      </c>
      <c r="C24" s="609" t="s">
        <v>327</v>
      </c>
      <c r="D24" s="611"/>
      <c r="E24" s="50">
        <v>30</v>
      </c>
      <c r="F24" s="238">
        <f>G24/E24</f>
        <v>1666.6666666666667</v>
      </c>
      <c r="G24" s="315">
        <v>50000</v>
      </c>
      <c r="H24" s="163"/>
    </row>
    <row r="25" spans="1:8" s="8" customFormat="1" ht="15">
      <c r="A25" s="147"/>
      <c r="B25" s="585" t="s">
        <v>222</v>
      </c>
      <c r="C25" s="586"/>
      <c r="D25" s="587"/>
      <c r="E25" s="50" t="s">
        <v>35</v>
      </c>
      <c r="F25" s="170" t="s">
        <v>35</v>
      </c>
      <c r="G25" s="362">
        <f>SUM(G24:G24)</f>
        <v>50000</v>
      </c>
      <c r="H25" s="163"/>
    </row>
    <row r="26" spans="2:8" ht="72.75" customHeight="1">
      <c r="B26" s="604" t="s">
        <v>262</v>
      </c>
      <c r="C26" s="604"/>
      <c r="D26" s="604"/>
      <c r="E26" s="604"/>
      <c r="F26" s="604"/>
      <c r="G26" s="604"/>
      <c r="H26" s="166"/>
    </row>
    <row r="27" spans="2:7" ht="62.25">
      <c r="B27" s="50" t="s">
        <v>33</v>
      </c>
      <c r="C27" s="533" t="s">
        <v>21</v>
      </c>
      <c r="D27" s="534"/>
      <c r="E27" s="535"/>
      <c r="F27" s="50" t="s">
        <v>22</v>
      </c>
      <c r="G27" s="256" t="s">
        <v>23</v>
      </c>
    </row>
    <row r="28" spans="2:7" ht="15">
      <c r="B28" s="118">
        <v>1</v>
      </c>
      <c r="C28" s="605">
        <v>2</v>
      </c>
      <c r="D28" s="606"/>
      <c r="E28" s="607"/>
      <c r="F28" s="118">
        <v>3</v>
      </c>
      <c r="G28" s="363">
        <v>4</v>
      </c>
    </row>
    <row r="29" spans="2:7" ht="32.25" customHeight="1">
      <c r="B29" s="118">
        <v>1</v>
      </c>
      <c r="C29" s="609" t="s">
        <v>34</v>
      </c>
      <c r="D29" s="610"/>
      <c r="E29" s="611"/>
      <c r="F29" s="118" t="s">
        <v>35</v>
      </c>
      <c r="G29" s="364">
        <f>SUM(G30:G32)</f>
        <v>1453672.8118</v>
      </c>
    </row>
    <row r="30" spans="2:7" ht="15">
      <c r="B30" s="118" t="s">
        <v>24</v>
      </c>
      <c r="C30" s="609" t="s">
        <v>36</v>
      </c>
      <c r="D30" s="610"/>
      <c r="E30" s="611"/>
      <c r="F30" s="159">
        <f>H17</f>
        <v>6607603.69</v>
      </c>
      <c r="G30" s="364">
        <f>F30*22%</f>
        <v>1453672.8118</v>
      </c>
    </row>
    <row r="31" spans="2:7" ht="15" hidden="1">
      <c r="B31" s="160" t="s">
        <v>25</v>
      </c>
      <c r="C31" s="609" t="s">
        <v>37</v>
      </c>
      <c r="D31" s="610"/>
      <c r="E31" s="611"/>
      <c r="F31" s="159"/>
      <c r="G31" s="364"/>
    </row>
    <row r="32" spans="2:7" ht="50.25" customHeight="1" hidden="1">
      <c r="B32" s="118" t="s">
        <v>26</v>
      </c>
      <c r="C32" s="609" t="s">
        <v>77</v>
      </c>
      <c r="D32" s="610"/>
      <c r="E32" s="611"/>
      <c r="F32" s="159"/>
      <c r="G32" s="364"/>
    </row>
    <row r="33" spans="2:7" ht="33" customHeight="1">
      <c r="B33" s="118">
        <v>2</v>
      </c>
      <c r="C33" s="609" t="s">
        <v>27</v>
      </c>
      <c r="D33" s="610"/>
      <c r="E33" s="611"/>
      <c r="F33" s="118" t="s">
        <v>35</v>
      </c>
      <c r="G33" s="364">
        <f>SUM(G34:G38)</f>
        <v>204835.71439</v>
      </c>
    </row>
    <row r="34" spans="2:7" ht="38.25" customHeight="1">
      <c r="B34" s="118" t="s">
        <v>28</v>
      </c>
      <c r="C34" s="609" t="s">
        <v>78</v>
      </c>
      <c r="D34" s="610"/>
      <c r="E34" s="611"/>
      <c r="F34" s="159">
        <f>F30</f>
        <v>6607603.69</v>
      </c>
      <c r="G34" s="364">
        <f>F34*2.9%</f>
        <v>191620.50701</v>
      </c>
    </row>
    <row r="35" spans="2:7" ht="33" customHeight="1" hidden="1">
      <c r="B35" s="118" t="s">
        <v>29</v>
      </c>
      <c r="C35" s="609" t="s">
        <v>79</v>
      </c>
      <c r="D35" s="610"/>
      <c r="E35" s="611"/>
      <c r="F35" s="159"/>
      <c r="G35" s="364"/>
    </row>
    <row r="36" spans="2:7" ht="48" customHeight="1">
      <c r="B36" s="118" t="s">
        <v>29</v>
      </c>
      <c r="C36" s="609" t="s">
        <v>76</v>
      </c>
      <c r="D36" s="610"/>
      <c r="E36" s="611"/>
      <c r="F36" s="159">
        <f>F34</f>
        <v>6607603.69</v>
      </c>
      <c r="G36" s="364">
        <f>F36*0.2%</f>
        <v>13215.207380000002</v>
      </c>
    </row>
    <row r="37" spans="2:7" ht="46.5" customHeight="1" hidden="1">
      <c r="B37" s="118" t="s">
        <v>31</v>
      </c>
      <c r="C37" s="609" t="s">
        <v>80</v>
      </c>
      <c r="D37" s="610"/>
      <c r="E37" s="611"/>
      <c r="F37" s="159"/>
      <c r="G37" s="364"/>
    </row>
    <row r="38" spans="2:7" ht="45" customHeight="1" hidden="1">
      <c r="B38" s="118" t="s">
        <v>32</v>
      </c>
      <c r="C38" s="609" t="s">
        <v>80</v>
      </c>
      <c r="D38" s="610"/>
      <c r="E38" s="611"/>
      <c r="F38" s="159"/>
      <c r="G38" s="364"/>
    </row>
    <row r="39" spans="2:7" ht="38.25" customHeight="1">
      <c r="B39" s="118" t="s">
        <v>38</v>
      </c>
      <c r="C39" s="609" t="s">
        <v>39</v>
      </c>
      <c r="D39" s="610"/>
      <c r="E39" s="611"/>
      <c r="F39" s="159">
        <f>F36</f>
        <v>6607603.69</v>
      </c>
      <c r="G39" s="364">
        <f>F39*5.1%</f>
        <v>336987.78819</v>
      </c>
    </row>
    <row r="40" spans="2:7" ht="16.5" customHeight="1">
      <c r="B40" s="531" t="s">
        <v>72</v>
      </c>
      <c r="C40" s="531"/>
      <c r="D40" s="531"/>
      <c r="E40" s="531"/>
      <c r="F40" s="118" t="s">
        <v>35</v>
      </c>
      <c r="G40" s="364">
        <f>G29+G33+G39</f>
        <v>1995496.31438</v>
      </c>
    </row>
    <row r="41" spans="2:7" ht="0.75" customHeight="1">
      <c r="B41" s="612" t="s">
        <v>833</v>
      </c>
      <c r="C41" s="612"/>
      <c r="D41" s="612"/>
      <c r="E41" s="612"/>
      <c r="F41" s="612"/>
      <c r="G41" s="454">
        <v>0</v>
      </c>
    </row>
    <row r="42" spans="2:7" ht="16.5" customHeight="1">
      <c r="B42" s="565" t="s">
        <v>72</v>
      </c>
      <c r="C42" s="565"/>
      <c r="D42" s="565"/>
      <c r="E42" s="565"/>
      <c r="F42" s="565"/>
      <c r="G42" s="365">
        <f>G40-G41</f>
        <v>1995496.31438</v>
      </c>
    </row>
    <row r="43" ht="8.25" customHeight="1"/>
    <row r="44" spans="2:7" ht="17.25" customHeight="1" hidden="1">
      <c r="B44" s="559" t="s">
        <v>263</v>
      </c>
      <c r="C44" s="559"/>
      <c r="D44" s="559"/>
      <c r="E44" s="559"/>
      <c r="F44" s="559"/>
      <c r="G44" s="559"/>
    </row>
    <row r="45" spans="2:7" ht="10.5" customHeight="1" hidden="1">
      <c r="B45" s="163"/>
      <c r="C45" s="163"/>
      <c r="D45" s="163"/>
      <c r="E45" s="163"/>
      <c r="F45" s="163"/>
      <c r="G45" s="367"/>
    </row>
    <row r="46" spans="2:7" ht="11.25" customHeight="1" hidden="1">
      <c r="B46" s="608" t="s">
        <v>220</v>
      </c>
      <c r="C46" s="608"/>
      <c r="D46" s="608"/>
      <c r="E46" s="608"/>
      <c r="F46" s="608"/>
      <c r="G46" s="608"/>
    </row>
    <row r="47" spans="2:7" ht="9.75" customHeight="1" hidden="1">
      <c r="B47" s="163"/>
      <c r="C47" s="165"/>
      <c r="D47" s="163"/>
      <c r="E47" s="163"/>
      <c r="F47" s="163"/>
      <c r="G47" s="368"/>
    </row>
    <row r="48" spans="2:8" ht="3.75" customHeight="1" hidden="1">
      <c r="B48" s="50" t="s">
        <v>33</v>
      </c>
      <c r="C48" s="530" t="s">
        <v>40</v>
      </c>
      <c r="D48" s="530"/>
      <c r="E48" s="530"/>
      <c r="F48" s="50" t="s">
        <v>41</v>
      </c>
      <c r="G48" s="256" t="s">
        <v>42</v>
      </c>
      <c r="H48" s="50" t="s">
        <v>43</v>
      </c>
    </row>
    <row r="49" spans="2:8" ht="3" customHeight="1" hidden="1">
      <c r="B49" s="50">
        <v>1</v>
      </c>
      <c r="C49" s="530">
        <v>2</v>
      </c>
      <c r="D49" s="530"/>
      <c r="E49" s="530"/>
      <c r="F49" s="50">
        <v>3</v>
      </c>
      <c r="G49" s="256">
        <v>4</v>
      </c>
      <c r="H49" s="50">
        <v>5</v>
      </c>
    </row>
    <row r="50" spans="2:8" ht="9" customHeight="1" hidden="1">
      <c r="B50" s="50">
        <v>1</v>
      </c>
      <c r="C50" s="567" t="s">
        <v>328</v>
      </c>
      <c r="D50" s="567"/>
      <c r="E50" s="567"/>
      <c r="F50" s="216" t="s">
        <v>330</v>
      </c>
      <c r="G50" s="369" t="s">
        <v>330</v>
      </c>
      <c r="H50" s="123">
        <f>14990-7.4-14982.6</f>
        <v>0</v>
      </c>
    </row>
    <row r="51" spans="2:8" ht="6" customHeight="1" hidden="1">
      <c r="B51" s="50">
        <v>1</v>
      </c>
      <c r="C51" s="567" t="s">
        <v>329</v>
      </c>
      <c r="D51" s="567"/>
      <c r="E51" s="567"/>
      <c r="F51" s="216">
        <v>151.98</v>
      </c>
      <c r="G51" s="369">
        <v>32.9</v>
      </c>
      <c r="H51" s="123">
        <v>0</v>
      </c>
    </row>
    <row r="52" spans="2:8" ht="4.5" customHeight="1" hidden="1">
      <c r="B52" s="50">
        <v>4</v>
      </c>
      <c r="C52" s="567" t="s">
        <v>489</v>
      </c>
      <c r="D52" s="567"/>
      <c r="E52" s="567"/>
      <c r="F52" s="216" t="s">
        <v>330</v>
      </c>
      <c r="G52" s="369" t="s">
        <v>330</v>
      </c>
      <c r="H52" s="123">
        <f>7.4-7.4</f>
        <v>0</v>
      </c>
    </row>
    <row r="53" spans="1:8" s="7" customFormat="1" ht="6.75" customHeight="1" hidden="1">
      <c r="A53" s="166"/>
      <c r="B53" s="541" t="s">
        <v>223</v>
      </c>
      <c r="C53" s="541"/>
      <c r="D53" s="541"/>
      <c r="E53" s="541"/>
      <c r="F53" s="541"/>
      <c r="G53" s="541"/>
      <c r="H53" s="167">
        <f>SUM(H50:H52)</f>
        <v>0</v>
      </c>
    </row>
    <row r="54" ht="3" customHeight="1" hidden="1"/>
    <row r="55" spans="2:7" ht="15" hidden="1">
      <c r="B55" s="622" t="s">
        <v>263</v>
      </c>
      <c r="C55" s="622"/>
      <c r="D55" s="622"/>
      <c r="E55" s="622"/>
      <c r="F55" s="622"/>
      <c r="G55" s="622"/>
    </row>
    <row r="56" spans="2:7" ht="15" hidden="1">
      <c r="B56" s="608" t="s">
        <v>505</v>
      </c>
      <c r="C56" s="608"/>
      <c r="D56" s="608"/>
      <c r="E56" s="608"/>
      <c r="F56" s="608"/>
      <c r="G56" s="608"/>
    </row>
    <row r="57" spans="2:7" ht="1.5" customHeight="1" hidden="1">
      <c r="B57" s="163"/>
      <c r="C57" s="165"/>
      <c r="D57" s="163"/>
      <c r="E57" s="163"/>
      <c r="F57" s="163"/>
      <c r="G57" s="368"/>
    </row>
    <row r="58" spans="2:7" ht="74.25" customHeight="1" hidden="1">
      <c r="B58" s="50" t="s">
        <v>33</v>
      </c>
      <c r="C58" s="530" t="s">
        <v>40</v>
      </c>
      <c r="D58" s="530"/>
      <c r="E58" s="50" t="s">
        <v>41</v>
      </c>
      <c r="F58" s="50" t="s">
        <v>42</v>
      </c>
      <c r="G58" s="256" t="s">
        <v>43</v>
      </c>
    </row>
    <row r="59" spans="2:7" ht="15" hidden="1">
      <c r="B59" s="50">
        <v>1</v>
      </c>
      <c r="C59" s="609" t="s">
        <v>322</v>
      </c>
      <c r="D59" s="611"/>
      <c r="E59" s="238">
        <f>G59/F59%</f>
        <v>0</v>
      </c>
      <c r="F59" s="50">
        <v>2.2</v>
      </c>
      <c r="G59" s="269">
        <v>0</v>
      </c>
    </row>
    <row r="60" spans="2:7" ht="1.5" customHeight="1" hidden="1">
      <c r="B60" s="50">
        <v>1</v>
      </c>
      <c r="C60" s="609" t="s">
        <v>593</v>
      </c>
      <c r="D60" s="611"/>
      <c r="E60" s="238">
        <f>G60/F60%</f>
        <v>0</v>
      </c>
      <c r="F60" s="50">
        <v>2.2</v>
      </c>
      <c r="G60" s="269">
        <v>0</v>
      </c>
    </row>
    <row r="61" spans="2:7" ht="33" customHeight="1" hidden="1">
      <c r="B61" s="50">
        <v>2</v>
      </c>
      <c r="C61" s="609" t="s">
        <v>613</v>
      </c>
      <c r="D61" s="611"/>
      <c r="E61" s="238"/>
      <c r="F61" s="50"/>
      <c r="G61" s="269">
        <v>0</v>
      </c>
    </row>
    <row r="62" spans="2:7" ht="73.5" customHeight="1" hidden="1">
      <c r="B62" s="50">
        <v>1</v>
      </c>
      <c r="C62" s="609" t="s">
        <v>658</v>
      </c>
      <c r="D62" s="611"/>
      <c r="E62" s="238"/>
      <c r="F62" s="50"/>
      <c r="G62" s="269">
        <v>0</v>
      </c>
    </row>
    <row r="63" spans="2:7" ht="73.5" customHeight="1" hidden="1">
      <c r="B63" s="50">
        <v>4</v>
      </c>
      <c r="C63" s="609" t="s">
        <v>629</v>
      </c>
      <c r="D63" s="611"/>
      <c r="E63" s="238"/>
      <c r="F63" s="50"/>
      <c r="G63" s="269">
        <v>0</v>
      </c>
    </row>
    <row r="64" spans="1:8" s="7" customFormat="1" ht="15" hidden="1">
      <c r="A64" s="166"/>
      <c r="B64" s="585" t="s">
        <v>223</v>
      </c>
      <c r="C64" s="586"/>
      <c r="D64" s="587"/>
      <c r="E64" s="25"/>
      <c r="F64" s="122"/>
      <c r="G64" s="370">
        <f>SUM(G59:G63)</f>
        <v>0</v>
      </c>
      <c r="H64" s="166"/>
    </row>
    <row r="65" spans="2:8" ht="15">
      <c r="B65" s="559" t="s">
        <v>264</v>
      </c>
      <c r="C65" s="559"/>
      <c r="D65" s="559"/>
      <c r="E65" s="559"/>
      <c r="F65" s="559"/>
      <c r="G65" s="559"/>
      <c r="H65" s="168"/>
    </row>
    <row r="66" spans="2:8" ht="15">
      <c r="B66" s="608" t="s">
        <v>553</v>
      </c>
      <c r="C66" s="608"/>
      <c r="D66" s="608"/>
      <c r="E66" s="608"/>
      <c r="F66" s="608"/>
      <c r="G66" s="608"/>
      <c r="H66" s="168"/>
    </row>
    <row r="67" spans="1:8" s="8" customFormat="1" ht="15">
      <c r="A67" s="147"/>
      <c r="B67" s="559" t="s">
        <v>265</v>
      </c>
      <c r="C67" s="559"/>
      <c r="D67" s="559"/>
      <c r="E67" s="559"/>
      <c r="F67" s="559"/>
      <c r="G67" s="559"/>
      <c r="H67" s="163"/>
    </row>
    <row r="68" spans="1:8" s="8" customFormat="1" ht="30.75">
      <c r="A68" s="147"/>
      <c r="B68" s="50" t="s">
        <v>33</v>
      </c>
      <c r="C68" s="50" t="s">
        <v>40</v>
      </c>
      <c r="D68" s="50" t="s">
        <v>44</v>
      </c>
      <c r="E68" s="50" t="s">
        <v>45</v>
      </c>
      <c r="F68" s="50" t="s">
        <v>46</v>
      </c>
      <c r="G68" s="256" t="s">
        <v>47</v>
      </c>
      <c r="H68" s="163"/>
    </row>
    <row r="69" spans="1:8" s="8" customFormat="1" ht="15">
      <c r="A69" s="147"/>
      <c r="B69" s="50">
        <v>1</v>
      </c>
      <c r="C69" s="36" t="s">
        <v>2</v>
      </c>
      <c r="D69" s="50">
        <v>1</v>
      </c>
      <c r="E69" s="50">
        <v>3</v>
      </c>
      <c r="F69" s="238">
        <f>G69/E69</f>
        <v>666.6666666666666</v>
      </c>
      <c r="G69" s="255">
        <v>2000</v>
      </c>
      <c r="H69" s="244"/>
    </row>
    <row r="70" spans="1:8" s="8" customFormat="1" ht="15" hidden="1">
      <c r="A70" s="147"/>
      <c r="B70" s="50"/>
      <c r="C70" s="36"/>
      <c r="D70" s="50"/>
      <c r="E70" s="50"/>
      <c r="F70" s="169"/>
      <c r="G70" s="269"/>
      <c r="H70" s="163"/>
    </row>
    <row r="71" spans="1:8" s="8" customFormat="1" ht="15.75" customHeight="1">
      <c r="A71" s="147"/>
      <c r="B71" s="585" t="s">
        <v>70</v>
      </c>
      <c r="C71" s="586"/>
      <c r="D71" s="586"/>
      <c r="E71" s="586"/>
      <c r="F71" s="587"/>
      <c r="G71" s="362">
        <f>SUM(G69:G70)</f>
        <v>2000</v>
      </c>
      <c r="H71" s="163"/>
    </row>
    <row r="72" spans="1:8" s="8" customFormat="1" ht="15.75" customHeight="1" hidden="1">
      <c r="A72" s="147"/>
      <c r="B72" s="559" t="s">
        <v>266</v>
      </c>
      <c r="C72" s="559"/>
      <c r="D72" s="559"/>
      <c r="E72" s="559"/>
      <c r="F72" s="559"/>
      <c r="G72" s="559"/>
      <c r="H72" s="163"/>
    </row>
    <row r="73" spans="1:8" s="8" customFormat="1" ht="15.75" customHeight="1" hidden="1">
      <c r="A73" s="147"/>
      <c r="B73" s="163"/>
      <c r="C73" s="163"/>
      <c r="D73" s="164"/>
      <c r="E73" s="163"/>
      <c r="F73" s="163"/>
      <c r="G73" s="368"/>
      <c r="H73" s="163"/>
    </row>
    <row r="74" spans="1:8" s="8" customFormat="1" ht="33" customHeight="1" hidden="1">
      <c r="A74" s="147"/>
      <c r="B74" s="50" t="s">
        <v>33</v>
      </c>
      <c r="C74" s="50" t="s">
        <v>40</v>
      </c>
      <c r="D74" s="50" t="s">
        <v>283</v>
      </c>
      <c r="E74" s="533" t="s">
        <v>284</v>
      </c>
      <c r="F74" s="535"/>
      <c r="G74" s="256" t="s">
        <v>47</v>
      </c>
      <c r="H74" s="163"/>
    </row>
    <row r="75" spans="1:8" s="8" customFormat="1" ht="15.75" customHeight="1" hidden="1">
      <c r="A75" s="147"/>
      <c r="B75" s="50">
        <v>1</v>
      </c>
      <c r="C75" s="50">
        <v>2</v>
      </c>
      <c r="D75" s="50">
        <v>3</v>
      </c>
      <c r="E75" s="533">
        <v>4</v>
      </c>
      <c r="F75" s="535"/>
      <c r="G75" s="256">
        <v>5</v>
      </c>
      <c r="H75" s="163"/>
    </row>
    <row r="76" spans="1:8" s="8" customFormat="1" ht="15.75" customHeight="1" hidden="1">
      <c r="A76" s="147"/>
      <c r="B76" s="50"/>
      <c r="C76" s="50"/>
      <c r="D76" s="50"/>
      <c r="E76" s="533"/>
      <c r="F76" s="535"/>
      <c r="G76" s="256"/>
      <c r="H76" s="163"/>
    </row>
    <row r="77" spans="1:8" s="8" customFormat="1" ht="15.75" customHeight="1" hidden="1">
      <c r="A77" s="147"/>
      <c r="B77" s="50"/>
      <c r="C77" s="36"/>
      <c r="D77" s="50"/>
      <c r="E77" s="533"/>
      <c r="F77" s="535"/>
      <c r="G77" s="269"/>
      <c r="H77" s="163"/>
    </row>
    <row r="78" spans="1:8" s="8" customFormat="1" ht="15.75" customHeight="1" hidden="1">
      <c r="A78" s="147"/>
      <c r="B78" s="585" t="s">
        <v>226</v>
      </c>
      <c r="C78" s="586"/>
      <c r="D78" s="586"/>
      <c r="E78" s="586"/>
      <c r="F78" s="587"/>
      <c r="G78" s="362">
        <f>SUM(G77:G77)</f>
        <v>0</v>
      </c>
      <c r="H78" s="163"/>
    </row>
    <row r="79" spans="1:8" s="8" customFormat="1" ht="15" hidden="1">
      <c r="A79" s="147"/>
      <c r="B79" s="171"/>
      <c r="C79" s="171"/>
      <c r="D79" s="171"/>
      <c r="E79" s="171"/>
      <c r="F79" s="171"/>
      <c r="G79" s="371"/>
      <c r="H79" s="163"/>
    </row>
    <row r="80" spans="1:8" s="8" customFormat="1" ht="21" customHeight="1">
      <c r="A80" s="147"/>
      <c r="B80" s="621" t="s">
        <v>267</v>
      </c>
      <c r="C80" s="621"/>
      <c r="D80" s="621"/>
      <c r="E80" s="621"/>
      <c r="F80" s="621"/>
      <c r="G80" s="621"/>
      <c r="H80" s="163"/>
    </row>
    <row r="81" spans="1:8" s="8" customFormat="1" ht="46.5">
      <c r="A81" s="147"/>
      <c r="B81" s="50" t="s">
        <v>33</v>
      </c>
      <c r="C81" s="530" t="s">
        <v>40</v>
      </c>
      <c r="D81" s="530"/>
      <c r="E81" s="50" t="s">
        <v>84</v>
      </c>
      <c r="F81" s="50" t="s">
        <v>48</v>
      </c>
      <c r="G81" s="256" t="s">
        <v>47</v>
      </c>
      <c r="H81" s="163"/>
    </row>
    <row r="82" spans="1:8" s="8" customFormat="1" ht="18.75" customHeight="1">
      <c r="A82" s="147"/>
      <c r="B82" s="50">
        <v>1</v>
      </c>
      <c r="C82" s="567" t="s">
        <v>311</v>
      </c>
      <c r="D82" s="567"/>
      <c r="E82" s="238">
        <f aca="true" t="shared" si="0" ref="E82:E94">G82/F82</f>
        <v>39680.2371257485</v>
      </c>
      <c r="F82" s="238">
        <v>8.35</v>
      </c>
      <c r="G82" s="315">
        <f>312900-55570.02+24000+50000</f>
        <v>331329.98</v>
      </c>
      <c r="H82" s="163"/>
    </row>
    <row r="83" spans="1:8" s="8" customFormat="1" ht="28.5" customHeight="1" hidden="1">
      <c r="A83" s="147"/>
      <c r="B83" s="50">
        <v>2</v>
      </c>
      <c r="C83" s="567" t="s">
        <v>619</v>
      </c>
      <c r="D83" s="567"/>
      <c r="E83" s="238">
        <f>G83/F83</f>
        <v>0</v>
      </c>
      <c r="F83" s="238">
        <v>6.78</v>
      </c>
      <c r="G83" s="315">
        <v>0</v>
      </c>
      <c r="H83" s="163"/>
    </row>
    <row r="84" spans="1:8" s="8" customFormat="1" ht="18" customHeight="1">
      <c r="A84" s="147"/>
      <c r="B84" s="50">
        <v>2</v>
      </c>
      <c r="C84" s="567" t="s">
        <v>331</v>
      </c>
      <c r="D84" s="567"/>
      <c r="E84" s="238">
        <f t="shared" si="0"/>
        <v>405.79800647819866</v>
      </c>
      <c r="F84" s="238">
        <v>2676.67</v>
      </c>
      <c r="G84" s="315">
        <f>1223000-181104.19+44291.54</f>
        <v>1086187.35</v>
      </c>
      <c r="H84" s="163"/>
    </row>
    <row r="85" spans="1:8" s="8" customFormat="1" ht="29.25" customHeight="1" hidden="1">
      <c r="A85" s="147"/>
      <c r="B85" s="50">
        <v>4</v>
      </c>
      <c r="C85" s="567" t="s">
        <v>620</v>
      </c>
      <c r="D85" s="567"/>
      <c r="E85" s="238">
        <f>G85/F85</f>
        <v>0</v>
      </c>
      <c r="F85" s="238">
        <v>1826.47</v>
      </c>
      <c r="G85" s="315">
        <v>0</v>
      </c>
      <c r="H85" s="163"/>
    </row>
    <row r="86" spans="1:8" s="8" customFormat="1" ht="30.75" customHeight="1">
      <c r="A86" s="147"/>
      <c r="B86" s="50">
        <v>3</v>
      </c>
      <c r="C86" s="567" t="s">
        <v>795</v>
      </c>
      <c r="D86" s="567"/>
      <c r="E86" s="238">
        <f>G86/F86</f>
        <v>116.22650532191118</v>
      </c>
      <c r="F86" s="238">
        <v>2676.67</v>
      </c>
      <c r="G86" s="435">
        <f>97100+194000+20000</f>
        <v>311100</v>
      </c>
      <c r="H86" s="163"/>
    </row>
    <row r="87" spans="1:8" s="8" customFormat="1" ht="15" customHeight="1">
      <c r="A87" s="147"/>
      <c r="B87" s="50">
        <v>4</v>
      </c>
      <c r="C87" s="567" t="s">
        <v>332</v>
      </c>
      <c r="D87" s="567"/>
      <c r="E87" s="238">
        <f t="shared" si="0"/>
        <v>2318.941066066066</v>
      </c>
      <c r="F87" s="238">
        <v>26.64</v>
      </c>
      <c r="G87" s="315">
        <f>50000-3223.41+15000</f>
        <v>61776.59</v>
      </c>
      <c r="H87" s="163"/>
    </row>
    <row r="88" spans="1:8" s="8" customFormat="1" ht="26.25" customHeight="1" hidden="1">
      <c r="A88" s="147"/>
      <c r="B88" s="50">
        <v>6</v>
      </c>
      <c r="C88" s="567" t="s">
        <v>621</v>
      </c>
      <c r="D88" s="567"/>
      <c r="E88" s="238">
        <f>G88/F88</f>
        <v>0</v>
      </c>
      <c r="F88" s="238">
        <v>116.76</v>
      </c>
      <c r="G88" s="315">
        <v>0</v>
      </c>
      <c r="H88" s="163"/>
    </row>
    <row r="89" spans="1:8" s="9" customFormat="1" ht="15.75" customHeight="1">
      <c r="A89" s="172"/>
      <c r="B89" s="585" t="s">
        <v>711</v>
      </c>
      <c r="C89" s="586"/>
      <c r="D89" s="586"/>
      <c r="E89" s="586"/>
      <c r="F89" s="587"/>
      <c r="G89" s="362">
        <f>G82+G84+G87+G86</f>
        <v>1790393.9200000002</v>
      </c>
      <c r="H89" s="22"/>
    </row>
    <row r="90" spans="1:8" s="8" customFormat="1" ht="15">
      <c r="A90" s="147"/>
      <c r="B90" s="50">
        <v>5</v>
      </c>
      <c r="C90" s="567" t="s">
        <v>333</v>
      </c>
      <c r="D90" s="567"/>
      <c r="E90" s="238">
        <f t="shared" si="0"/>
        <v>2109.8010510510508</v>
      </c>
      <c r="F90" s="238">
        <v>26.64</v>
      </c>
      <c r="G90" s="315">
        <f>60000-4712.62-9082.28+10000</f>
        <v>56205.1</v>
      </c>
      <c r="H90" s="163"/>
    </row>
    <row r="91" spans="1:8" s="8" customFormat="1" ht="15" hidden="1">
      <c r="A91" s="147"/>
      <c r="B91" s="50">
        <v>8</v>
      </c>
      <c r="C91" s="567" t="s">
        <v>622</v>
      </c>
      <c r="D91" s="567"/>
      <c r="E91" s="238">
        <f>G91/F91</f>
        <v>0</v>
      </c>
      <c r="F91" s="238">
        <v>19.12</v>
      </c>
      <c r="G91" s="315">
        <v>0</v>
      </c>
      <c r="H91" s="163"/>
    </row>
    <row r="92" spans="1:8" s="8" customFormat="1" ht="13.5" customHeight="1">
      <c r="A92" s="147"/>
      <c r="B92" s="50">
        <v>6</v>
      </c>
      <c r="C92" s="567" t="s">
        <v>334</v>
      </c>
      <c r="D92" s="567"/>
      <c r="E92" s="238">
        <f t="shared" si="0"/>
        <v>1944.515435384288</v>
      </c>
      <c r="F92" s="238">
        <v>46.97</v>
      </c>
      <c r="G92" s="315">
        <f>90000-16230.83+7564.72+10000</f>
        <v>91333.89</v>
      </c>
      <c r="H92" s="163"/>
    </row>
    <row r="93" spans="1:8" s="8" customFormat="1" ht="28.5" customHeight="1" hidden="1">
      <c r="A93" s="147"/>
      <c r="B93" s="50">
        <v>10</v>
      </c>
      <c r="C93" s="567" t="s">
        <v>623</v>
      </c>
      <c r="D93" s="567"/>
      <c r="E93" s="238">
        <f>G93/F93</f>
        <v>0</v>
      </c>
      <c r="F93" s="238">
        <v>32.31</v>
      </c>
      <c r="G93" s="315">
        <v>0</v>
      </c>
      <c r="H93" s="163"/>
    </row>
    <row r="94" spans="1:8" s="8" customFormat="1" ht="15">
      <c r="A94" s="147"/>
      <c r="B94" s="50">
        <v>7</v>
      </c>
      <c r="C94" s="567" t="s">
        <v>335</v>
      </c>
      <c r="D94" s="567"/>
      <c r="E94" s="238">
        <f t="shared" si="0"/>
        <v>14.372805016707693</v>
      </c>
      <c r="F94" s="238">
        <v>4318.37</v>
      </c>
      <c r="G94" s="315">
        <f>50000+9082.28+2984.81</f>
        <v>62067.09</v>
      </c>
      <c r="H94" s="244"/>
    </row>
    <row r="95" spans="1:8" s="9" customFormat="1" ht="15.75" customHeight="1">
      <c r="A95" s="172"/>
      <c r="B95" s="585" t="s">
        <v>710</v>
      </c>
      <c r="C95" s="586"/>
      <c r="D95" s="586"/>
      <c r="E95" s="586"/>
      <c r="F95" s="587"/>
      <c r="G95" s="362">
        <f>G90+G92+G94</f>
        <v>209606.08</v>
      </c>
      <c r="H95" s="22"/>
    </row>
    <row r="96" spans="1:8" s="9" customFormat="1" ht="15.75" customHeight="1">
      <c r="A96" s="172"/>
      <c r="B96" s="585" t="s">
        <v>73</v>
      </c>
      <c r="C96" s="586"/>
      <c r="D96" s="586"/>
      <c r="E96" s="586"/>
      <c r="F96" s="587"/>
      <c r="G96" s="362">
        <f>G89+G95</f>
        <v>2000000.0000000002</v>
      </c>
      <c r="H96" s="22"/>
    </row>
    <row r="97" spans="1:8" s="9" customFormat="1" ht="1.5" customHeight="1">
      <c r="A97" s="172"/>
      <c r="B97" s="171"/>
      <c r="C97" s="171"/>
      <c r="D97" s="171"/>
      <c r="E97" s="171"/>
      <c r="F97" s="171"/>
      <c r="G97" s="372"/>
      <c r="H97" s="22"/>
    </row>
    <row r="98" spans="1:8" s="9" customFormat="1" ht="15.75" customHeight="1" hidden="1">
      <c r="A98" s="172"/>
      <c r="B98" s="582" t="s">
        <v>268</v>
      </c>
      <c r="C98" s="582"/>
      <c r="D98" s="582"/>
      <c r="E98" s="582"/>
      <c r="F98" s="582"/>
      <c r="G98" s="582"/>
      <c r="H98" s="22"/>
    </row>
    <row r="99" spans="1:8" s="9" customFormat="1" ht="15.75" customHeight="1" hidden="1">
      <c r="A99" s="172"/>
      <c r="B99" s="163"/>
      <c r="C99" s="163"/>
      <c r="D99" s="164"/>
      <c r="E99" s="163"/>
      <c r="F99" s="163"/>
      <c r="G99" s="368"/>
      <c r="H99" s="22"/>
    </row>
    <row r="100" spans="1:8" s="9" customFormat="1" ht="32.25" customHeight="1" hidden="1">
      <c r="A100" s="172"/>
      <c r="B100" s="50" t="s">
        <v>33</v>
      </c>
      <c r="C100" s="50" t="s">
        <v>40</v>
      </c>
      <c r="D100" s="50" t="s">
        <v>54</v>
      </c>
      <c r="E100" s="27" t="s">
        <v>285</v>
      </c>
      <c r="F100" s="50" t="s">
        <v>47</v>
      </c>
      <c r="G100" s="373"/>
      <c r="H100" s="22"/>
    </row>
    <row r="101" spans="1:8" s="9" customFormat="1" ht="15.75" customHeight="1" hidden="1">
      <c r="A101" s="172"/>
      <c r="B101" s="118">
        <v>1</v>
      </c>
      <c r="C101" s="118">
        <v>2</v>
      </c>
      <c r="D101" s="118">
        <v>3</v>
      </c>
      <c r="E101" s="158">
        <v>4</v>
      </c>
      <c r="F101" s="50">
        <v>5</v>
      </c>
      <c r="G101" s="373"/>
      <c r="H101" s="22"/>
    </row>
    <row r="102" spans="1:8" s="9" customFormat="1" ht="15.75" customHeight="1" hidden="1">
      <c r="A102" s="172"/>
      <c r="B102" s="118"/>
      <c r="C102" s="50"/>
      <c r="D102" s="118"/>
      <c r="E102" s="158"/>
      <c r="F102" s="187"/>
      <c r="G102" s="373"/>
      <c r="H102" s="22"/>
    </row>
    <row r="103" spans="1:8" s="9" customFormat="1" ht="15.75" customHeight="1" hidden="1">
      <c r="A103" s="172"/>
      <c r="B103" s="118"/>
      <c r="C103" s="50"/>
      <c r="D103" s="118"/>
      <c r="E103" s="158"/>
      <c r="F103" s="187"/>
      <c r="G103" s="373"/>
      <c r="H103" s="22"/>
    </row>
    <row r="104" spans="1:8" s="8" customFormat="1" ht="15" hidden="1">
      <c r="A104" s="147"/>
      <c r="B104" s="574" t="s">
        <v>227</v>
      </c>
      <c r="C104" s="575"/>
      <c r="D104" s="575"/>
      <c r="E104" s="576"/>
      <c r="F104" s="122">
        <f>SUM(F102:F103)</f>
        <v>0</v>
      </c>
      <c r="G104" s="374"/>
      <c r="H104" s="163"/>
    </row>
    <row r="105" spans="1:8" s="8" customFormat="1" ht="26.25" customHeight="1">
      <c r="A105" s="147"/>
      <c r="B105" s="582" t="s">
        <v>269</v>
      </c>
      <c r="C105" s="582"/>
      <c r="D105" s="582"/>
      <c r="E105" s="582"/>
      <c r="F105" s="582"/>
      <c r="G105" s="582"/>
      <c r="H105" s="163"/>
    </row>
    <row r="106" spans="1:8" s="8" customFormat="1" ht="32.25" customHeight="1">
      <c r="A106" s="147"/>
      <c r="B106" s="50" t="s">
        <v>33</v>
      </c>
      <c r="C106" s="530" t="s">
        <v>40</v>
      </c>
      <c r="D106" s="530"/>
      <c r="E106" s="530"/>
      <c r="F106" s="50" t="s">
        <v>50</v>
      </c>
      <c r="G106" s="375" t="s">
        <v>51</v>
      </c>
      <c r="H106" s="50" t="s">
        <v>47</v>
      </c>
    </row>
    <row r="107" spans="1:8" s="8" customFormat="1" ht="30.75" customHeight="1">
      <c r="A107" s="147"/>
      <c r="B107" s="118">
        <v>1</v>
      </c>
      <c r="C107" s="567" t="s">
        <v>336</v>
      </c>
      <c r="D107" s="567"/>
      <c r="E107" s="567"/>
      <c r="F107" s="118">
        <v>1</v>
      </c>
      <c r="G107" s="376">
        <v>12</v>
      </c>
      <c r="H107" s="433">
        <f>67500+1495.2+1004.8</f>
        <v>70000</v>
      </c>
    </row>
    <row r="108" spans="1:8" s="8" customFormat="1" ht="18.75" customHeight="1">
      <c r="A108" s="147"/>
      <c r="B108" s="118">
        <v>2</v>
      </c>
      <c r="C108" s="567" t="s">
        <v>338</v>
      </c>
      <c r="D108" s="567"/>
      <c r="E108" s="567"/>
      <c r="F108" s="118">
        <v>1</v>
      </c>
      <c r="G108" s="376">
        <v>12</v>
      </c>
      <c r="H108" s="433">
        <v>150000</v>
      </c>
    </row>
    <row r="109" spans="1:11" s="8" customFormat="1" ht="20.25" customHeight="1">
      <c r="A109" s="147"/>
      <c r="B109" s="118">
        <v>3</v>
      </c>
      <c r="C109" s="567" t="s">
        <v>339</v>
      </c>
      <c r="D109" s="567"/>
      <c r="E109" s="567"/>
      <c r="F109" s="118">
        <v>1</v>
      </c>
      <c r="G109" s="376">
        <v>12</v>
      </c>
      <c r="H109" s="433">
        <v>30000</v>
      </c>
      <c r="J109" s="623"/>
      <c r="K109" s="623"/>
    </row>
    <row r="110" spans="1:11" s="8" customFormat="1" ht="17.25" customHeight="1">
      <c r="A110" s="147"/>
      <c r="B110" s="118">
        <v>4</v>
      </c>
      <c r="C110" s="567" t="s">
        <v>340</v>
      </c>
      <c r="D110" s="567"/>
      <c r="E110" s="567"/>
      <c r="F110" s="118">
        <v>1</v>
      </c>
      <c r="G110" s="376">
        <v>12</v>
      </c>
      <c r="H110" s="433">
        <v>30000</v>
      </c>
      <c r="J110" s="623"/>
      <c r="K110" s="623"/>
    </row>
    <row r="111" spans="1:11" s="8" customFormat="1" ht="30.75" customHeight="1">
      <c r="A111" s="147"/>
      <c r="B111" s="118">
        <v>5</v>
      </c>
      <c r="C111" s="567" t="s">
        <v>341</v>
      </c>
      <c r="D111" s="567"/>
      <c r="E111" s="567"/>
      <c r="F111" s="118">
        <v>1</v>
      </c>
      <c r="G111" s="363">
        <v>12</v>
      </c>
      <c r="H111" s="433">
        <v>30000</v>
      </c>
      <c r="J111" s="623"/>
      <c r="K111" s="623"/>
    </row>
    <row r="112" spans="1:8" s="8" customFormat="1" ht="35.25" customHeight="1">
      <c r="A112" s="147"/>
      <c r="B112" s="118">
        <v>6</v>
      </c>
      <c r="C112" s="567" t="s">
        <v>695</v>
      </c>
      <c r="D112" s="567"/>
      <c r="E112" s="567"/>
      <c r="F112" s="118">
        <v>1</v>
      </c>
      <c r="G112" s="376">
        <v>12</v>
      </c>
      <c r="H112" s="433">
        <v>140000</v>
      </c>
    </row>
    <row r="113" spans="1:8" s="8" customFormat="1" ht="27.75" customHeight="1" hidden="1">
      <c r="A113" s="147"/>
      <c r="B113" s="118">
        <v>7</v>
      </c>
      <c r="C113" s="567" t="s">
        <v>342</v>
      </c>
      <c r="D113" s="567"/>
      <c r="E113" s="567"/>
      <c r="F113" s="118">
        <v>1</v>
      </c>
      <c r="G113" s="363">
        <v>12</v>
      </c>
      <c r="H113" s="433">
        <f>41200-217.69-16000-6268-8714.31-10000</f>
        <v>0</v>
      </c>
    </row>
    <row r="114" spans="1:8" s="8" customFormat="1" ht="27.75" customHeight="1">
      <c r="A114" s="147"/>
      <c r="B114" s="118">
        <v>7</v>
      </c>
      <c r="C114" s="567" t="s">
        <v>911</v>
      </c>
      <c r="D114" s="567"/>
      <c r="E114" s="567"/>
      <c r="F114" s="118">
        <v>1</v>
      </c>
      <c r="G114" s="376">
        <v>1</v>
      </c>
      <c r="H114" s="433">
        <v>10000</v>
      </c>
    </row>
    <row r="115" spans="1:8" s="8" customFormat="1" ht="0.75" customHeight="1" hidden="1">
      <c r="A115" s="147"/>
      <c r="B115" s="118">
        <v>9</v>
      </c>
      <c r="C115" s="567" t="s">
        <v>546</v>
      </c>
      <c r="D115" s="567"/>
      <c r="E115" s="567"/>
      <c r="F115" s="118">
        <v>1</v>
      </c>
      <c r="G115" s="376">
        <v>2</v>
      </c>
      <c r="H115" s="433">
        <f>30000-30000</f>
        <v>0</v>
      </c>
    </row>
    <row r="116" spans="1:8" s="8" customFormat="1" ht="0.75" customHeight="1" hidden="1">
      <c r="A116" s="147"/>
      <c r="B116" s="118">
        <v>8</v>
      </c>
      <c r="C116" s="567" t="s">
        <v>503</v>
      </c>
      <c r="D116" s="567"/>
      <c r="E116" s="567"/>
      <c r="F116" s="118">
        <v>1</v>
      </c>
      <c r="G116" s="376">
        <v>1</v>
      </c>
      <c r="H116" s="433">
        <f>15450-15450</f>
        <v>0</v>
      </c>
    </row>
    <row r="117" spans="1:8" s="8" customFormat="1" ht="19.5" customHeight="1" hidden="1">
      <c r="A117" s="147"/>
      <c r="B117" s="118">
        <v>8</v>
      </c>
      <c r="C117" s="567" t="s">
        <v>452</v>
      </c>
      <c r="D117" s="567"/>
      <c r="E117" s="567"/>
      <c r="F117" s="118">
        <v>1</v>
      </c>
      <c r="G117" s="376">
        <v>2</v>
      </c>
      <c r="H117" s="433">
        <f>5000-5000</f>
        <v>0</v>
      </c>
    </row>
    <row r="118" spans="1:8" s="8" customFormat="1" ht="15" hidden="1">
      <c r="A118" s="147"/>
      <c r="B118" s="118">
        <v>11</v>
      </c>
      <c r="C118" s="567" t="s">
        <v>607</v>
      </c>
      <c r="D118" s="567"/>
      <c r="E118" s="567"/>
      <c r="F118" s="118">
        <v>1</v>
      </c>
      <c r="G118" s="376">
        <v>12</v>
      </c>
      <c r="H118" s="433">
        <f>20600-7785.69-1000-3900-7914.31</f>
        <v>0</v>
      </c>
    </row>
    <row r="119" spans="1:8" s="8" customFormat="1" ht="28.5" customHeight="1" hidden="1">
      <c r="A119" s="147"/>
      <c r="B119" s="118">
        <v>8</v>
      </c>
      <c r="C119" s="568" t="s">
        <v>694</v>
      </c>
      <c r="D119" s="568"/>
      <c r="E119" s="568"/>
      <c r="F119" s="118">
        <v>1</v>
      </c>
      <c r="G119" s="376">
        <v>12</v>
      </c>
      <c r="H119" s="433">
        <f>43800-17400-26400</f>
        <v>0</v>
      </c>
    </row>
    <row r="120" spans="1:8" s="373" customFormat="1" ht="20.25" customHeight="1" hidden="1">
      <c r="A120" s="366"/>
      <c r="B120" s="363">
        <v>10</v>
      </c>
      <c r="C120" s="568" t="s">
        <v>659</v>
      </c>
      <c r="D120" s="568"/>
      <c r="E120" s="568"/>
      <c r="F120" s="363">
        <v>1</v>
      </c>
      <c r="G120" s="376">
        <v>12</v>
      </c>
      <c r="H120" s="433">
        <f>30000-25000-4970-30</f>
        <v>0</v>
      </c>
    </row>
    <row r="121" spans="1:8" s="373" customFormat="1" ht="19.5" customHeight="1" hidden="1">
      <c r="A121" s="366"/>
      <c r="B121" s="363">
        <v>11</v>
      </c>
      <c r="C121" s="568" t="s">
        <v>550</v>
      </c>
      <c r="D121" s="568"/>
      <c r="E121" s="568"/>
      <c r="F121" s="363">
        <v>1</v>
      </c>
      <c r="G121" s="376">
        <v>1</v>
      </c>
      <c r="H121" s="433">
        <f>16000-3124-12876</f>
        <v>0</v>
      </c>
    </row>
    <row r="122" spans="1:8" s="373" customFormat="1" ht="15" customHeight="1" hidden="1">
      <c r="A122" s="366"/>
      <c r="B122" s="363">
        <v>12</v>
      </c>
      <c r="C122" s="568" t="s">
        <v>546</v>
      </c>
      <c r="D122" s="568"/>
      <c r="E122" s="568"/>
      <c r="F122" s="363">
        <v>1</v>
      </c>
      <c r="G122" s="376">
        <v>1</v>
      </c>
      <c r="H122" s="433">
        <f>30000-20000-10000</f>
        <v>0</v>
      </c>
    </row>
    <row r="123" spans="1:8" s="8" customFormat="1" ht="21.75" customHeight="1" hidden="1">
      <c r="A123" s="147"/>
      <c r="B123" s="118">
        <v>13</v>
      </c>
      <c r="C123" s="567" t="s">
        <v>615</v>
      </c>
      <c r="D123" s="567"/>
      <c r="E123" s="567"/>
      <c r="F123" s="118">
        <v>1</v>
      </c>
      <c r="G123" s="376">
        <v>2</v>
      </c>
      <c r="H123" s="433">
        <f>26729-18729-8000</f>
        <v>0</v>
      </c>
    </row>
    <row r="124" spans="1:8" s="8" customFormat="1" ht="29.25" customHeight="1" hidden="1">
      <c r="A124" s="147"/>
      <c r="B124" s="118">
        <v>9</v>
      </c>
      <c r="C124" s="568" t="s">
        <v>569</v>
      </c>
      <c r="D124" s="568"/>
      <c r="E124" s="568"/>
      <c r="F124" s="118">
        <v>1</v>
      </c>
      <c r="G124" s="376">
        <v>2</v>
      </c>
      <c r="H124" s="433">
        <f>10000-10000</f>
        <v>0</v>
      </c>
    </row>
    <row r="125" spans="1:8" s="8" customFormat="1" ht="29.25" customHeight="1" hidden="1">
      <c r="A125" s="147"/>
      <c r="B125" s="118">
        <v>14</v>
      </c>
      <c r="C125" s="567" t="s">
        <v>569</v>
      </c>
      <c r="D125" s="567"/>
      <c r="E125" s="567"/>
      <c r="F125" s="118">
        <v>1</v>
      </c>
      <c r="G125" s="376">
        <v>1</v>
      </c>
      <c r="H125" s="433">
        <f>10000-10000</f>
        <v>0</v>
      </c>
    </row>
    <row r="126" spans="1:8" s="8" customFormat="1" ht="29.25" customHeight="1" hidden="1">
      <c r="A126" s="147"/>
      <c r="B126" s="118">
        <v>10</v>
      </c>
      <c r="C126" s="567" t="s">
        <v>684</v>
      </c>
      <c r="D126" s="567"/>
      <c r="E126" s="567"/>
      <c r="F126" s="118">
        <v>1</v>
      </c>
      <c r="G126" s="376">
        <v>1</v>
      </c>
      <c r="H126" s="433">
        <f>10000-1600-5000-3400</f>
        <v>0</v>
      </c>
    </row>
    <row r="127" spans="1:8" s="8" customFormat="1" ht="29.25" customHeight="1">
      <c r="A127" s="147"/>
      <c r="B127" s="118">
        <v>8</v>
      </c>
      <c r="C127" s="567" t="s">
        <v>925</v>
      </c>
      <c r="D127" s="567"/>
      <c r="E127" s="567"/>
      <c r="F127" s="118">
        <v>1</v>
      </c>
      <c r="G127" s="376">
        <v>1</v>
      </c>
      <c r="H127" s="433">
        <v>1000</v>
      </c>
    </row>
    <row r="128" spans="1:8" s="8" customFormat="1" ht="29.25" customHeight="1">
      <c r="A128" s="147"/>
      <c r="B128" s="118">
        <v>9</v>
      </c>
      <c r="C128" s="567" t="s">
        <v>965</v>
      </c>
      <c r="D128" s="567"/>
      <c r="E128" s="567"/>
      <c r="F128" s="118">
        <v>1</v>
      </c>
      <c r="G128" s="376">
        <v>1</v>
      </c>
      <c r="H128" s="433">
        <v>10000</v>
      </c>
    </row>
    <row r="129" spans="1:8" s="8" customFormat="1" ht="29.25" customHeight="1">
      <c r="A129" s="147"/>
      <c r="B129" s="118">
        <v>10</v>
      </c>
      <c r="C129" s="567" t="s">
        <v>910</v>
      </c>
      <c r="D129" s="567"/>
      <c r="E129" s="567"/>
      <c r="F129" s="118">
        <v>1</v>
      </c>
      <c r="G129" s="376">
        <v>12</v>
      </c>
      <c r="H129" s="433">
        <f>50000-10000+13560+890+1050</f>
        <v>55500</v>
      </c>
    </row>
    <row r="130" spans="1:8" s="8" customFormat="1" ht="29.25" customHeight="1">
      <c r="A130" s="147"/>
      <c r="B130" s="118">
        <v>11</v>
      </c>
      <c r="C130" s="567" t="s">
        <v>966</v>
      </c>
      <c r="D130" s="567"/>
      <c r="E130" s="567"/>
      <c r="F130" s="118">
        <v>1</v>
      </c>
      <c r="G130" s="376">
        <v>1</v>
      </c>
      <c r="H130" s="433">
        <v>50000</v>
      </c>
    </row>
    <row r="131" spans="1:8" s="8" customFormat="1" ht="29.25" customHeight="1">
      <c r="A131" s="147"/>
      <c r="B131" s="118">
        <v>12</v>
      </c>
      <c r="C131" s="567" t="s">
        <v>967</v>
      </c>
      <c r="D131" s="567"/>
      <c r="E131" s="567"/>
      <c r="F131" s="118">
        <v>1</v>
      </c>
      <c r="G131" s="376">
        <v>1</v>
      </c>
      <c r="H131" s="433">
        <v>23500</v>
      </c>
    </row>
    <row r="132" spans="1:8" s="9" customFormat="1" ht="15">
      <c r="A132" s="172"/>
      <c r="B132" s="565" t="s">
        <v>69</v>
      </c>
      <c r="C132" s="565"/>
      <c r="D132" s="565"/>
      <c r="E132" s="565"/>
      <c r="F132" s="565"/>
      <c r="G132" s="565"/>
      <c r="H132" s="362">
        <f>SUM(H107:H131)</f>
        <v>600000</v>
      </c>
    </row>
    <row r="133" spans="1:8" s="8" customFormat="1" ht="22.5" customHeight="1">
      <c r="A133" s="147"/>
      <c r="B133" s="559" t="s">
        <v>270</v>
      </c>
      <c r="C133" s="559"/>
      <c r="D133" s="559"/>
      <c r="E133" s="559"/>
      <c r="F133" s="559"/>
      <c r="G133" s="559"/>
      <c r="H133" s="163"/>
    </row>
    <row r="134" spans="1:8" s="8" customFormat="1" ht="6" customHeight="1" hidden="1">
      <c r="A134" s="147"/>
      <c r="B134" s="163"/>
      <c r="C134" s="163"/>
      <c r="D134" s="164"/>
      <c r="E134" s="163"/>
      <c r="F134" s="163"/>
      <c r="G134" s="368"/>
      <c r="H134" s="163"/>
    </row>
    <row r="135" spans="1:8" s="8" customFormat="1" ht="29.25" customHeight="1">
      <c r="A135" s="147"/>
      <c r="B135" s="50" t="s">
        <v>33</v>
      </c>
      <c r="C135" s="533" t="s">
        <v>40</v>
      </c>
      <c r="D135" s="534"/>
      <c r="E135" s="535"/>
      <c r="F135" s="50" t="s">
        <v>52</v>
      </c>
      <c r="G135" s="256" t="s">
        <v>53</v>
      </c>
      <c r="H135" s="163"/>
    </row>
    <row r="136" spans="1:8" s="8" customFormat="1" ht="15" hidden="1">
      <c r="A136" s="147"/>
      <c r="B136" s="118">
        <v>1</v>
      </c>
      <c r="C136" s="571" t="s">
        <v>344</v>
      </c>
      <c r="D136" s="572"/>
      <c r="E136" s="573"/>
      <c r="F136" s="173" t="s">
        <v>313</v>
      </c>
      <c r="G136" s="377">
        <f>43500-6484-37016</f>
        <v>0</v>
      </c>
      <c r="H136" s="174"/>
    </row>
    <row r="137" spans="1:8" s="8" customFormat="1" ht="13.5" customHeight="1">
      <c r="A137" s="147"/>
      <c r="B137" s="118">
        <v>1</v>
      </c>
      <c r="C137" s="571" t="s">
        <v>345</v>
      </c>
      <c r="D137" s="572"/>
      <c r="E137" s="573"/>
      <c r="F137" s="173" t="s">
        <v>313</v>
      </c>
      <c r="G137" s="377">
        <f>140000-14990-13990+28980+73920</f>
        <v>213920</v>
      </c>
      <c r="H137" s="174"/>
    </row>
    <row r="138" spans="1:8" s="8" customFormat="1" ht="15" hidden="1">
      <c r="A138" s="147"/>
      <c r="B138" s="118">
        <v>3</v>
      </c>
      <c r="C138" s="571" t="s">
        <v>346</v>
      </c>
      <c r="D138" s="572"/>
      <c r="E138" s="573"/>
      <c r="F138" s="173" t="s">
        <v>313</v>
      </c>
      <c r="G138" s="377">
        <f>18165/2+9517.5-18600</f>
        <v>0</v>
      </c>
      <c r="H138" s="174"/>
    </row>
    <row r="139" spans="1:8" s="8" customFormat="1" ht="15" hidden="1">
      <c r="A139" s="147"/>
      <c r="B139" s="118">
        <v>4</v>
      </c>
      <c r="C139" s="571" t="s">
        <v>347</v>
      </c>
      <c r="D139" s="572"/>
      <c r="E139" s="573"/>
      <c r="F139" s="173" t="s">
        <v>313</v>
      </c>
      <c r="G139" s="377">
        <f>10000/2-3000-2000</f>
        <v>0</v>
      </c>
      <c r="H139" s="174"/>
    </row>
    <row r="140" spans="1:8" s="8" customFormat="1" ht="1.5" customHeight="1" hidden="1">
      <c r="A140" s="147"/>
      <c r="B140" s="118">
        <v>3</v>
      </c>
      <c r="C140" s="571" t="s">
        <v>348</v>
      </c>
      <c r="D140" s="572"/>
      <c r="E140" s="573"/>
      <c r="F140" s="173" t="s">
        <v>313</v>
      </c>
      <c r="G140" s="377">
        <f>24925-5000-9893+50-10082</f>
        <v>0</v>
      </c>
      <c r="H140" s="174"/>
    </row>
    <row r="141" spans="1:8" s="8" customFormat="1" ht="15" hidden="1">
      <c r="A141" s="147"/>
      <c r="B141" s="118">
        <v>6</v>
      </c>
      <c r="C141" s="571" t="s">
        <v>349</v>
      </c>
      <c r="D141" s="572"/>
      <c r="E141" s="573"/>
      <c r="F141" s="173" t="s">
        <v>313</v>
      </c>
      <c r="G141" s="377">
        <f>10000/2-5000</f>
        <v>0</v>
      </c>
      <c r="H141" s="174"/>
    </row>
    <row r="142" spans="1:8" s="8" customFormat="1" ht="12.75" customHeight="1">
      <c r="A142" s="147"/>
      <c r="B142" s="118">
        <v>2</v>
      </c>
      <c r="C142" s="571" t="s">
        <v>350</v>
      </c>
      <c r="D142" s="572"/>
      <c r="E142" s="573"/>
      <c r="F142" s="173" t="s">
        <v>313</v>
      </c>
      <c r="G142" s="377">
        <v>99000</v>
      </c>
      <c r="H142" s="174"/>
    </row>
    <row r="143" spans="1:8" s="8" customFormat="1" ht="0.75" customHeight="1" hidden="1">
      <c r="A143" s="147"/>
      <c r="B143" s="118">
        <v>8</v>
      </c>
      <c r="C143" s="571" t="s">
        <v>351</v>
      </c>
      <c r="D143" s="572"/>
      <c r="E143" s="573"/>
      <c r="F143" s="173" t="s">
        <v>313</v>
      </c>
      <c r="G143" s="377">
        <f>830/2-415</f>
        <v>0</v>
      </c>
      <c r="H143" s="174"/>
    </row>
    <row r="144" spans="1:8" s="8" customFormat="1" ht="15">
      <c r="A144" s="147"/>
      <c r="B144" s="118">
        <v>3</v>
      </c>
      <c r="C144" s="571" t="s">
        <v>543</v>
      </c>
      <c r="D144" s="572"/>
      <c r="E144" s="573"/>
      <c r="F144" s="173" t="s">
        <v>313</v>
      </c>
      <c r="G144" s="377">
        <v>20000</v>
      </c>
      <c r="H144" s="174"/>
    </row>
    <row r="145" spans="1:8" s="8" customFormat="1" ht="15">
      <c r="A145" s="147"/>
      <c r="B145" s="118">
        <v>4</v>
      </c>
      <c r="C145" s="571" t="s">
        <v>352</v>
      </c>
      <c r="D145" s="572"/>
      <c r="E145" s="573"/>
      <c r="F145" s="173" t="s">
        <v>313</v>
      </c>
      <c r="G145" s="377">
        <v>15000</v>
      </c>
      <c r="H145" s="174"/>
    </row>
    <row r="146" spans="1:8" s="8" customFormat="1" ht="15">
      <c r="A146" s="147"/>
      <c r="B146" s="118">
        <v>5</v>
      </c>
      <c r="C146" s="571" t="s">
        <v>451</v>
      </c>
      <c r="D146" s="572"/>
      <c r="E146" s="573"/>
      <c r="F146" s="173" t="s">
        <v>313</v>
      </c>
      <c r="G146" s="377">
        <v>2096800</v>
      </c>
      <c r="H146" s="174"/>
    </row>
    <row r="147" spans="1:8" s="8" customFormat="1" ht="15" hidden="1">
      <c r="A147" s="147"/>
      <c r="B147" s="118"/>
      <c r="C147" s="571"/>
      <c r="D147" s="572"/>
      <c r="E147" s="573"/>
      <c r="F147" s="173"/>
      <c r="G147" s="377"/>
      <c r="H147" s="174"/>
    </row>
    <row r="148" spans="1:8" s="8" customFormat="1" ht="15" hidden="1">
      <c r="A148" s="147"/>
      <c r="B148" s="118"/>
      <c r="C148" s="571"/>
      <c r="D148" s="572"/>
      <c r="E148" s="573"/>
      <c r="F148" s="173"/>
      <c r="G148" s="377"/>
      <c r="H148" s="174"/>
    </row>
    <row r="149" spans="1:8" s="8" customFormat="1" ht="2.25" customHeight="1" hidden="1">
      <c r="A149" s="147"/>
      <c r="B149" s="118">
        <v>7</v>
      </c>
      <c r="C149" s="571" t="s">
        <v>616</v>
      </c>
      <c r="D149" s="572"/>
      <c r="E149" s="573"/>
      <c r="F149" s="173" t="s">
        <v>313</v>
      </c>
      <c r="G149" s="377">
        <v>0</v>
      </c>
      <c r="H149" s="174"/>
    </row>
    <row r="150" spans="1:8" s="8" customFormat="1" ht="16.5" customHeight="1">
      <c r="A150" s="147"/>
      <c r="B150" s="118">
        <v>6</v>
      </c>
      <c r="C150" s="571" t="s">
        <v>683</v>
      </c>
      <c r="D150" s="572"/>
      <c r="E150" s="573"/>
      <c r="F150" s="173" t="s">
        <v>313</v>
      </c>
      <c r="G150" s="377">
        <f>41300-15000-4200</f>
        <v>22100</v>
      </c>
      <c r="H150" s="174"/>
    </row>
    <row r="151" spans="1:11" s="8" customFormat="1" ht="51.75" customHeight="1">
      <c r="A151" s="147"/>
      <c r="B151" s="118">
        <v>7</v>
      </c>
      <c r="C151" s="571" t="s">
        <v>842</v>
      </c>
      <c r="D151" s="572"/>
      <c r="E151" s="573"/>
      <c r="F151" s="173" t="s">
        <v>313</v>
      </c>
      <c r="G151" s="377">
        <v>14990</v>
      </c>
      <c r="H151" s="174"/>
      <c r="K151" s="8" t="s">
        <v>901</v>
      </c>
    </row>
    <row r="152" spans="1:8" s="8" customFormat="1" ht="54" customHeight="1">
      <c r="A152" s="147"/>
      <c r="B152" s="118">
        <v>8</v>
      </c>
      <c r="C152" s="571" t="s">
        <v>843</v>
      </c>
      <c r="D152" s="572"/>
      <c r="E152" s="573"/>
      <c r="F152" s="173" t="s">
        <v>313</v>
      </c>
      <c r="G152" s="377">
        <v>13990</v>
      </c>
      <c r="H152" s="174"/>
    </row>
    <row r="153" spans="1:8" s="8" customFormat="1" ht="24" customHeight="1" hidden="1">
      <c r="A153" s="147"/>
      <c r="B153" s="118">
        <v>9</v>
      </c>
      <c r="C153" s="571" t="s">
        <v>890</v>
      </c>
      <c r="D153" s="572"/>
      <c r="E153" s="573"/>
      <c r="F153" s="173" t="s">
        <v>313</v>
      </c>
      <c r="G153" s="377">
        <v>0</v>
      </c>
      <c r="H153" s="174"/>
    </row>
    <row r="154" spans="1:8" s="8" customFormat="1" ht="24" customHeight="1">
      <c r="A154" s="147"/>
      <c r="B154" s="118">
        <v>9</v>
      </c>
      <c r="C154" s="571" t="s">
        <v>902</v>
      </c>
      <c r="D154" s="572"/>
      <c r="E154" s="573"/>
      <c r="F154" s="173" t="s">
        <v>313</v>
      </c>
      <c r="G154" s="377">
        <v>4200</v>
      </c>
      <c r="H154" s="174"/>
    </row>
    <row r="155" spans="1:8" s="8" customFormat="1" ht="14.25" customHeight="1">
      <c r="A155" s="147"/>
      <c r="B155" s="574" t="s">
        <v>71</v>
      </c>
      <c r="C155" s="575"/>
      <c r="D155" s="575"/>
      <c r="E155" s="575"/>
      <c r="F155" s="576"/>
      <c r="G155" s="378">
        <f>SUM(G136:G154)</f>
        <v>2500000</v>
      </c>
      <c r="H155" s="163"/>
    </row>
    <row r="156" spans="1:8" s="8" customFormat="1" ht="9" customHeight="1" hidden="1">
      <c r="A156" s="147"/>
      <c r="B156" s="560"/>
      <c r="C156" s="560"/>
      <c r="D156" s="560"/>
      <c r="E156" s="560"/>
      <c r="F156" s="181"/>
      <c r="G156" s="379"/>
      <c r="H156" s="163"/>
    </row>
    <row r="157" spans="1:8" s="8" customFormat="1" ht="15.75" customHeight="1" hidden="1">
      <c r="A157" s="147"/>
      <c r="B157" s="561" t="s">
        <v>271</v>
      </c>
      <c r="C157" s="561"/>
      <c r="D157" s="561"/>
      <c r="E157" s="561"/>
      <c r="F157" s="561"/>
      <c r="G157" s="561"/>
      <c r="H157" s="163"/>
    </row>
    <row r="158" spans="1:8" s="8" customFormat="1" ht="4.5" customHeight="1" hidden="1">
      <c r="A158" s="147"/>
      <c r="B158" s="206"/>
      <c r="C158" s="206"/>
      <c r="D158" s="206"/>
      <c r="E158" s="206"/>
      <c r="F158" s="206"/>
      <c r="G158" s="380"/>
      <c r="H158" s="163"/>
    </row>
    <row r="159" spans="1:8" s="8" customFormat="1" ht="30.75" hidden="1">
      <c r="A159" s="147"/>
      <c r="B159" s="50" t="s">
        <v>33</v>
      </c>
      <c r="C159" s="530" t="s">
        <v>40</v>
      </c>
      <c r="D159" s="530"/>
      <c r="E159" s="50" t="s">
        <v>54</v>
      </c>
      <c r="F159" s="50" t="s">
        <v>55</v>
      </c>
      <c r="G159" s="256" t="s">
        <v>448</v>
      </c>
      <c r="H159" s="163"/>
    </row>
    <row r="160" spans="1:8" s="8" customFormat="1" ht="15" hidden="1">
      <c r="A160" s="147"/>
      <c r="B160" s="26">
        <v>1</v>
      </c>
      <c r="C160" s="615">
        <v>2</v>
      </c>
      <c r="D160" s="616"/>
      <c r="E160" s="26">
        <v>3</v>
      </c>
      <c r="F160" s="26">
        <v>4</v>
      </c>
      <c r="G160" s="256">
        <v>5</v>
      </c>
      <c r="H160" s="163"/>
    </row>
    <row r="161" spans="1:8" s="8" customFormat="1" ht="15" hidden="1">
      <c r="A161" s="147"/>
      <c r="B161" s="26">
        <v>1</v>
      </c>
      <c r="C161" s="563" t="s">
        <v>61</v>
      </c>
      <c r="D161" s="564"/>
      <c r="E161" s="26">
        <v>1</v>
      </c>
      <c r="F161" s="243">
        <f>G161</f>
        <v>2500</v>
      </c>
      <c r="G161" s="255">
        <f>5000/2</f>
        <v>2500</v>
      </c>
      <c r="H161" s="163"/>
    </row>
    <row r="162" spans="1:8" s="8" customFormat="1" ht="15" hidden="1">
      <c r="A162" s="147"/>
      <c r="B162" s="26"/>
      <c r="C162" s="569"/>
      <c r="D162" s="569"/>
      <c r="E162" s="173"/>
      <c r="F162" s="184"/>
      <c r="G162" s="381"/>
      <c r="H162" s="174"/>
    </row>
    <row r="163" spans="1:8" s="8" customFormat="1" ht="15" hidden="1">
      <c r="A163" s="147"/>
      <c r="B163" s="574" t="s">
        <v>60</v>
      </c>
      <c r="C163" s="575"/>
      <c r="D163" s="575"/>
      <c r="E163" s="575"/>
      <c r="F163" s="576"/>
      <c r="G163" s="378">
        <v>0</v>
      </c>
      <c r="H163" s="174"/>
    </row>
    <row r="164" spans="1:8" s="8" customFormat="1" ht="15" hidden="1">
      <c r="A164" s="147"/>
      <c r="B164" s="560" t="s">
        <v>450</v>
      </c>
      <c r="C164" s="560"/>
      <c r="D164" s="560"/>
      <c r="E164" s="560"/>
      <c r="F164" s="181"/>
      <c r="G164" s="379"/>
      <c r="H164" s="174"/>
    </row>
    <row r="165" spans="1:8" s="8" customFormat="1" ht="15" hidden="1">
      <c r="A165" s="147"/>
      <c r="B165" s="562" t="s">
        <v>272</v>
      </c>
      <c r="C165" s="562"/>
      <c r="D165" s="562"/>
      <c r="E165" s="562"/>
      <c r="F165" s="562"/>
      <c r="G165" s="562"/>
      <c r="H165" s="174"/>
    </row>
    <row r="166" spans="1:8" s="8" customFormat="1" ht="15" hidden="1">
      <c r="A166" s="147"/>
      <c r="B166" s="181"/>
      <c r="C166" s="182"/>
      <c r="D166" s="182"/>
      <c r="E166" s="182"/>
      <c r="F166" s="181"/>
      <c r="G166" s="379"/>
      <c r="H166" s="174"/>
    </row>
    <row r="167" spans="1:8" s="8" customFormat="1" ht="30.75" hidden="1">
      <c r="A167" s="147"/>
      <c r="B167" s="50" t="s">
        <v>33</v>
      </c>
      <c r="C167" s="533" t="s">
        <v>40</v>
      </c>
      <c r="D167" s="534"/>
      <c r="E167" s="535"/>
      <c r="F167" s="50" t="s">
        <v>52</v>
      </c>
      <c r="G167" s="256" t="s">
        <v>53</v>
      </c>
      <c r="H167" s="174"/>
    </row>
    <row r="168" spans="1:8" s="8" customFormat="1" ht="15" hidden="1">
      <c r="A168" s="147"/>
      <c r="B168" s="118"/>
      <c r="C168" s="571"/>
      <c r="D168" s="617"/>
      <c r="E168" s="618"/>
      <c r="F168" s="173"/>
      <c r="G168" s="381"/>
      <c r="H168" s="174"/>
    </row>
    <row r="169" spans="1:8" s="8" customFormat="1" ht="15" hidden="1">
      <c r="A169" s="147"/>
      <c r="B169" s="118"/>
      <c r="C169" s="571"/>
      <c r="D169" s="617"/>
      <c r="E169" s="618"/>
      <c r="F169" s="173"/>
      <c r="G169" s="381"/>
      <c r="H169" s="174"/>
    </row>
    <row r="170" spans="1:8" s="8" customFormat="1" ht="15" hidden="1">
      <c r="A170" s="147"/>
      <c r="B170" s="574" t="s">
        <v>74</v>
      </c>
      <c r="C170" s="575"/>
      <c r="D170" s="575"/>
      <c r="E170" s="575"/>
      <c r="F170" s="576"/>
      <c r="G170" s="365">
        <f>SUM(G168:G169)</f>
        <v>0</v>
      </c>
      <c r="H170" s="174"/>
    </row>
    <row r="171" spans="1:8" s="8" customFormat="1" ht="15" hidden="1">
      <c r="A171" s="147"/>
      <c r="B171" s="181"/>
      <c r="C171" s="182"/>
      <c r="D171" s="182"/>
      <c r="E171" s="182"/>
      <c r="F171" s="181"/>
      <c r="G171" s="379"/>
      <c r="H171" s="174"/>
    </row>
    <row r="172" spans="1:8" s="8" customFormat="1" ht="6" customHeight="1" hidden="1">
      <c r="A172" s="147"/>
      <c r="B172" s="559" t="s">
        <v>273</v>
      </c>
      <c r="C172" s="559"/>
      <c r="D172" s="559"/>
      <c r="E172" s="559"/>
      <c r="F172" s="559"/>
      <c r="G172" s="559"/>
      <c r="H172" s="163"/>
    </row>
    <row r="173" spans="1:8" s="8" customFormat="1" ht="3" customHeight="1" hidden="1">
      <c r="A173" s="147"/>
      <c r="B173" s="163"/>
      <c r="C173" s="163"/>
      <c r="D173" s="164"/>
      <c r="E173" s="163"/>
      <c r="F173" s="163"/>
      <c r="G173" s="368"/>
      <c r="H173" s="163"/>
    </row>
    <row r="174" spans="1:8" s="8" customFormat="1" ht="30.75" hidden="1">
      <c r="A174" s="147"/>
      <c r="B174" s="50" t="s">
        <v>33</v>
      </c>
      <c r="C174" s="533" t="s">
        <v>40</v>
      </c>
      <c r="D174" s="535"/>
      <c r="E174" s="50" t="s">
        <v>54</v>
      </c>
      <c r="F174" s="50" t="s">
        <v>55</v>
      </c>
      <c r="G174" s="256" t="s">
        <v>47</v>
      </c>
      <c r="H174" s="163"/>
    </row>
    <row r="175" spans="1:8" s="8" customFormat="1" ht="15" hidden="1">
      <c r="A175" s="147"/>
      <c r="B175" s="27">
        <v>1</v>
      </c>
      <c r="C175" s="619">
        <v>2</v>
      </c>
      <c r="D175" s="620"/>
      <c r="E175" s="173">
        <v>3</v>
      </c>
      <c r="F175" s="193">
        <v>4</v>
      </c>
      <c r="G175" s="382">
        <v>5</v>
      </c>
      <c r="H175" s="163"/>
    </row>
    <row r="176" spans="1:8" s="8" customFormat="1" ht="15" hidden="1">
      <c r="A176" s="147"/>
      <c r="B176" s="27">
        <v>1</v>
      </c>
      <c r="C176" s="571" t="s">
        <v>363</v>
      </c>
      <c r="D176" s="573"/>
      <c r="E176" s="173">
        <v>0.5</v>
      </c>
      <c r="F176" s="240">
        <v>46750</v>
      </c>
      <c r="G176" s="323">
        <v>0</v>
      </c>
      <c r="H176" s="163"/>
    </row>
    <row r="177" spans="1:8" s="8" customFormat="1" ht="15" hidden="1">
      <c r="A177" s="147"/>
      <c r="B177" s="50">
        <v>2</v>
      </c>
      <c r="C177" s="569" t="s">
        <v>414</v>
      </c>
      <c r="D177" s="570"/>
      <c r="E177" s="173">
        <v>10</v>
      </c>
      <c r="F177" s="240">
        <v>5600</v>
      </c>
      <c r="G177" s="323">
        <v>0</v>
      </c>
      <c r="H177" s="163"/>
    </row>
    <row r="178" spans="1:8" s="8" customFormat="1" ht="15" hidden="1">
      <c r="A178" s="147"/>
      <c r="B178" s="50">
        <v>3</v>
      </c>
      <c r="C178" s="569" t="s">
        <v>415</v>
      </c>
      <c r="D178" s="570"/>
      <c r="E178" s="173">
        <v>2</v>
      </c>
      <c r="F178" s="240">
        <v>6913.5</v>
      </c>
      <c r="G178" s="323">
        <v>0</v>
      </c>
      <c r="H178" s="163"/>
    </row>
    <row r="179" spans="1:8" s="8" customFormat="1" ht="14.25" customHeight="1" hidden="1">
      <c r="A179" s="147"/>
      <c r="B179" s="574" t="s">
        <v>57</v>
      </c>
      <c r="C179" s="575"/>
      <c r="D179" s="575"/>
      <c r="E179" s="575"/>
      <c r="F179" s="576"/>
      <c r="G179" s="383">
        <f>G176+G177+G178</f>
        <v>0</v>
      </c>
      <c r="H179" s="163"/>
    </row>
    <row r="180" spans="1:9" s="8" customFormat="1" ht="13.5" customHeight="1" hidden="1">
      <c r="A180" s="188"/>
      <c r="B180" s="584" t="s">
        <v>450</v>
      </c>
      <c r="C180" s="584"/>
      <c r="D180" s="584"/>
      <c r="E180" s="584"/>
      <c r="F180" s="189"/>
      <c r="G180" s="384"/>
      <c r="H180" s="191"/>
      <c r="I180" s="192"/>
    </row>
    <row r="181" spans="1:8" s="8" customFormat="1" ht="22.5" customHeight="1" hidden="1">
      <c r="A181" s="147"/>
      <c r="B181" s="559" t="s">
        <v>273</v>
      </c>
      <c r="C181" s="559"/>
      <c r="D181" s="559"/>
      <c r="E181" s="559"/>
      <c r="F181" s="559"/>
      <c r="G181" s="559"/>
      <c r="H181" s="163"/>
    </row>
    <row r="182" spans="1:8" s="8" customFormat="1" ht="27.75" customHeight="1" hidden="1">
      <c r="A182" s="147"/>
      <c r="B182" s="50" t="s">
        <v>33</v>
      </c>
      <c r="C182" s="533" t="s">
        <v>40</v>
      </c>
      <c r="D182" s="535"/>
      <c r="E182" s="50" t="s">
        <v>54</v>
      </c>
      <c r="F182" s="50" t="s">
        <v>55</v>
      </c>
      <c r="G182" s="256" t="s">
        <v>47</v>
      </c>
      <c r="H182" s="163"/>
    </row>
    <row r="183" spans="1:8" s="8" customFormat="1" ht="21" customHeight="1" hidden="1">
      <c r="A183" s="147"/>
      <c r="B183" s="27">
        <v>1</v>
      </c>
      <c r="C183" s="571" t="s">
        <v>803</v>
      </c>
      <c r="D183" s="573"/>
      <c r="E183" s="173">
        <v>1</v>
      </c>
      <c r="F183" s="240">
        <f>G183/E183</f>
        <v>0</v>
      </c>
      <c r="G183" s="315">
        <f>25000-7550-17450</f>
        <v>0</v>
      </c>
      <c r="H183" s="244"/>
    </row>
    <row r="184" spans="1:8" s="8" customFormat="1" ht="24" customHeight="1" hidden="1">
      <c r="A184" s="147"/>
      <c r="B184" s="27">
        <v>2</v>
      </c>
      <c r="C184" s="571" t="s">
        <v>804</v>
      </c>
      <c r="D184" s="573"/>
      <c r="E184" s="173">
        <v>1</v>
      </c>
      <c r="F184" s="240">
        <f>G184/E184</f>
        <v>0</v>
      </c>
      <c r="G184" s="315">
        <f>25000-25000</f>
        <v>0</v>
      </c>
      <c r="H184" s="244"/>
    </row>
    <row r="185" spans="1:8" s="8" customFormat="1" ht="22.5" customHeight="1" hidden="1">
      <c r="A185" s="147"/>
      <c r="B185" s="27">
        <v>1</v>
      </c>
      <c r="C185" s="571" t="s">
        <v>920</v>
      </c>
      <c r="D185" s="573"/>
      <c r="E185" s="173">
        <v>1</v>
      </c>
      <c r="F185" s="240">
        <f>G185/E185</f>
        <v>0</v>
      </c>
      <c r="G185" s="435">
        <v>0</v>
      </c>
      <c r="H185" s="244"/>
    </row>
    <row r="186" spans="1:8" s="8" customFormat="1" ht="20.25" customHeight="1" hidden="1">
      <c r="A186" s="147"/>
      <c r="B186" s="574" t="s">
        <v>57</v>
      </c>
      <c r="C186" s="575"/>
      <c r="D186" s="575"/>
      <c r="E186" s="575"/>
      <c r="F186" s="576"/>
      <c r="G186" s="383">
        <f>G183+G184+G185</f>
        <v>0</v>
      </c>
      <c r="H186" s="244"/>
    </row>
    <row r="187" spans="1:8" s="8" customFormat="1" ht="33" customHeight="1">
      <c r="A187" s="147"/>
      <c r="B187" s="582" t="s">
        <v>274</v>
      </c>
      <c r="C187" s="582"/>
      <c r="D187" s="582"/>
      <c r="E187" s="582"/>
      <c r="F187" s="582"/>
      <c r="G187" s="582"/>
      <c r="H187" s="163"/>
    </row>
    <row r="188" spans="1:8" s="8" customFormat="1" ht="0.75" customHeight="1">
      <c r="A188" s="147"/>
      <c r="B188" s="163"/>
      <c r="C188" s="163"/>
      <c r="D188" s="164"/>
      <c r="E188" s="163"/>
      <c r="F188" s="163"/>
      <c r="G188" s="368"/>
      <c r="H188" s="163"/>
    </row>
    <row r="189" spans="1:8" s="8" customFormat="1" ht="33" customHeight="1">
      <c r="A189" s="147"/>
      <c r="B189" s="50" t="s">
        <v>33</v>
      </c>
      <c r="C189" s="533" t="s">
        <v>40</v>
      </c>
      <c r="D189" s="535"/>
      <c r="E189" s="50" t="s">
        <v>54</v>
      </c>
      <c r="F189" s="50" t="s">
        <v>55</v>
      </c>
      <c r="G189" s="256" t="s">
        <v>47</v>
      </c>
      <c r="H189" s="163"/>
    </row>
    <row r="190" spans="1:8" s="8" customFormat="1" ht="12.75" customHeight="1" hidden="1">
      <c r="A190" s="147"/>
      <c r="B190" s="27">
        <v>1</v>
      </c>
      <c r="C190" s="571" t="s">
        <v>354</v>
      </c>
      <c r="D190" s="573"/>
      <c r="E190" s="173">
        <v>28</v>
      </c>
      <c r="F190" s="179">
        <f>G190/E190</f>
        <v>0</v>
      </c>
      <c r="G190" s="269">
        <f>30000-30000</f>
        <v>0</v>
      </c>
      <c r="H190" s="163"/>
    </row>
    <row r="191" spans="1:8" s="8" customFormat="1" ht="18" customHeight="1" hidden="1">
      <c r="A191" s="147"/>
      <c r="B191" s="50">
        <v>2</v>
      </c>
      <c r="C191" s="569" t="s">
        <v>353</v>
      </c>
      <c r="D191" s="570"/>
      <c r="E191" s="173">
        <v>28</v>
      </c>
      <c r="F191" s="179">
        <f>G191/E191</f>
        <v>0</v>
      </c>
      <c r="G191" s="269">
        <f>26000-26000</f>
        <v>0</v>
      </c>
      <c r="H191" s="163"/>
    </row>
    <row r="192" spans="1:8" s="8" customFormat="1" ht="32.25" customHeight="1">
      <c r="A192" s="147"/>
      <c r="B192" s="27">
        <v>1</v>
      </c>
      <c r="C192" s="571" t="s">
        <v>924</v>
      </c>
      <c r="D192" s="573"/>
      <c r="E192" s="173">
        <v>300</v>
      </c>
      <c r="F192" s="179">
        <f>G192/E192</f>
        <v>66.66666666666667</v>
      </c>
      <c r="G192" s="269">
        <v>20000</v>
      </c>
      <c r="H192" s="163"/>
    </row>
    <row r="193" spans="1:8" s="8" customFormat="1" ht="20.25" customHeight="1">
      <c r="A193" s="147"/>
      <c r="B193" s="574" t="s">
        <v>228</v>
      </c>
      <c r="C193" s="575"/>
      <c r="D193" s="575"/>
      <c r="E193" s="575"/>
      <c r="F193" s="576"/>
      <c r="G193" s="383">
        <f>SUM(G190:G192)</f>
        <v>20000</v>
      </c>
      <c r="H193" s="163"/>
    </row>
    <row r="194" spans="1:8" s="8" customFormat="1" ht="21" customHeight="1">
      <c r="A194" s="147"/>
      <c r="B194" s="559" t="s">
        <v>636</v>
      </c>
      <c r="C194" s="559"/>
      <c r="D194" s="559"/>
      <c r="E194" s="559"/>
      <c r="F194" s="559"/>
      <c r="G194" s="559"/>
      <c r="H194" s="163"/>
    </row>
    <row r="195" spans="1:8" s="8" customFormat="1" ht="15" hidden="1">
      <c r="A195" s="147"/>
      <c r="B195" s="163"/>
      <c r="C195" s="163"/>
      <c r="D195" s="164"/>
      <c r="E195" s="163"/>
      <c r="F195" s="163"/>
      <c r="G195" s="368"/>
      <c r="H195" s="163"/>
    </row>
    <row r="196" spans="1:8" s="8" customFormat="1" ht="30.75">
      <c r="A196" s="147"/>
      <c r="B196" s="50" t="s">
        <v>33</v>
      </c>
      <c r="C196" s="533" t="s">
        <v>40</v>
      </c>
      <c r="D196" s="535"/>
      <c r="E196" s="50" t="s">
        <v>54</v>
      </c>
      <c r="F196" s="50" t="s">
        <v>55</v>
      </c>
      <c r="G196" s="256" t="s">
        <v>47</v>
      </c>
      <c r="H196" s="163"/>
    </row>
    <row r="197" spans="1:8" s="8" customFormat="1" ht="15">
      <c r="A197" s="147"/>
      <c r="B197" s="27">
        <v>1</v>
      </c>
      <c r="C197" s="571" t="s">
        <v>359</v>
      </c>
      <c r="D197" s="573"/>
      <c r="E197" s="173">
        <v>78</v>
      </c>
      <c r="F197" s="179">
        <f>G197/E197</f>
        <v>128.2051282051282</v>
      </c>
      <c r="G197" s="269">
        <v>10000</v>
      </c>
      <c r="H197" s="163"/>
    </row>
    <row r="198" spans="1:8" s="8" customFormat="1" ht="15" hidden="1">
      <c r="A198" s="147"/>
      <c r="B198" s="50"/>
      <c r="C198" s="569"/>
      <c r="D198" s="570"/>
      <c r="E198" s="173"/>
      <c r="F198" s="179"/>
      <c r="G198" s="269"/>
      <c r="H198" s="163"/>
    </row>
    <row r="199" spans="1:8" s="8" customFormat="1" ht="15">
      <c r="A199" s="147"/>
      <c r="B199" s="574" t="s">
        <v>229</v>
      </c>
      <c r="C199" s="575"/>
      <c r="D199" s="575"/>
      <c r="E199" s="575"/>
      <c r="F199" s="576"/>
      <c r="G199" s="383">
        <f>G197</f>
        <v>10000</v>
      </c>
      <c r="H199" s="163"/>
    </row>
    <row r="200" spans="1:8" s="8" customFormat="1" ht="17.25" customHeight="1">
      <c r="A200" s="147"/>
      <c r="B200" s="559" t="s">
        <v>635</v>
      </c>
      <c r="C200" s="559"/>
      <c r="D200" s="559"/>
      <c r="E200" s="559"/>
      <c r="F200" s="559"/>
      <c r="G200" s="559"/>
      <c r="H200" s="163"/>
    </row>
    <row r="201" spans="1:8" s="8" customFormat="1" ht="9.75" customHeight="1" hidden="1">
      <c r="A201" s="147"/>
      <c r="B201" s="163"/>
      <c r="C201" s="163"/>
      <c r="D201" s="164"/>
      <c r="E201" s="163"/>
      <c r="F201" s="163"/>
      <c r="G201" s="368"/>
      <c r="H201" s="163"/>
    </row>
    <row r="202" spans="1:8" s="8" customFormat="1" ht="30" customHeight="1">
      <c r="A202" s="147"/>
      <c r="B202" s="50" t="s">
        <v>33</v>
      </c>
      <c r="C202" s="533" t="s">
        <v>40</v>
      </c>
      <c r="D202" s="535"/>
      <c r="E202" s="50" t="s">
        <v>54</v>
      </c>
      <c r="F202" s="50" t="s">
        <v>55</v>
      </c>
      <c r="G202" s="256" t="s">
        <v>47</v>
      </c>
      <c r="H202" s="163"/>
    </row>
    <row r="203" spans="1:8" s="8" customFormat="1" ht="47.25" customHeight="1" hidden="1">
      <c r="A203" s="147"/>
      <c r="B203" s="194" t="s">
        <v>316</v>
      </c>
      <c r="C203" s="557" t="s">
        <v>600</v>
      </c>
      <c r="D203" s="558"/>
      <c r="E203" s="322">
        <v>180</v>
      </c>
      <c r="F203" s="322">
        <f>G203/E203</f>
        <v>0</v>
      </c>
      <c r="G203" s="323">
        <f>52630+3746-56376</f>
        <v>0</v>
      </c>
      <c r="H203" s="163"/>
    </row>
    <row r="204" spans="1:8" s="8" customFormat="1" ht="15" hidden="1">
      <c r="A204" s="147"/>
      <c r="B204" s="50"/>
      <c r="C204" s="569"/>
      <c r="D204" s="570"/>
      <c r="E204" s="173"/>
      <c r="F204" s="179"/>
      <c r="G204" s="269"/>
      <c r="H204" s="163"/>
    </row>
    <row r="205" spans="1:8" s="8" customFormat="1" ht="22.5" customHeight="1">
      <c r="A205" s="147"/>
      <c r="B205" s="194" t="s">
        <v>316</v>
      </c>
      <c r="C205" s="557" t="s">
        <v>893</v>
      </c>
      <c r="D205" s="558"/>
      <c r="E205" s="322">
        <v>7</v>
      </c>
      <c r="F205" s="322">
        <f aca="true" t="shared" si="1" ref="F205:F214">G205/E205</f>
        <v>2367.8571428571427</v>
      </c>
      <c r="G205" s="323">
        <f>16575</f>
        <v>16575</v>
      </c>
      <c r="H205" s="163"/>
    </row>
    <row r="206" spans="1:8" s="8" customFormat="1" ht="22.5" customHeight="1">
      <c r="A206" s="147"/>
      <c r="B206" s="194" t="s">
        <v>570</v>
      </c>
      <c r="C206" s="557" t="s">
        <v>903</v>
      </c>
      <c r="D206" s="558"/>
      <c r="E206" s="436">
        <v>5</v>
      </c>
      <c r="F206" s="436">
        <f t="shared" si="1"/>
        <v>277</v>
      </c>
      <c r="G206" s="323">
        <v>1385</v>
      </c>
      <c r="H206" s="163"/>
    </row>
    <row r="207" spans="1:8" s="8" customFormat="1" ht="22.5" customHeight="1">
      <c r="A207" s="147"/>
      <c r="B207" s="194" t="s">
        <v>617</v>
      </c>
      <c r="C207" s="557" t="s">
        <v>894</v>
      </c>
      <c r="D207" s="558"/>
      <c r="E207" s="436">
        <v>5</v>
      </c>
      <c r="F207" s="436">
        <f t="shared" si="1"/>
        <v>55</v>
      </c>
      <c r="G207" s="323">
        <v>275</v>
      </c>
      <c r="H207" s="163"/>
    </row>
    <row r="208" spans="1:8" s="8" customFormat="1" ht="22.5" customHeight="1">
      <c r="A208" s="147"/>
      <c r="B208" s="194" t="s">
        <v>586</v>
      </c>
      <c r="C208" s="557" t="s">
        <v>895</v>
      </c>
      <c r="D208" s="558"/>
      <c r="E208" s="436">
        <v>1</v>
      </c>
      <c r="F208" s="436">
        <f t="shared" si="1"/>
        <v>650</v>
      </c>
      <c r="G208" s="323">
        <v>650</v>
      </c>
      <c r="H208" s="163"/>
    </row>
    <row r="209" spans="1:8" s="8" customFormat="1" ht="22.5" customHeight="1">
      <c r="A209" s="147"/>
      <c r="B209" s="194" t="s">
        <v>409</v>
      </c>
      <c r="C209" s="557" t="s">
        <v>896</v>
      </c>
      <c r="D209" s="558"/>
      <c r="E209" s="436">
        <v>1</v>
      </c>
      <c r="F209" s="436">
        <f t="shared" si="1"/>
        <v>335</v>
      </c>
      <c r="G209" s="323">
        <v>335</v>
      </c>
      <c r="H209" s="163"/>
    </row>
    <row r="210" spans="1:8" s="8" customFormat="1" ht="22.5" customHeight="1">
      <c r="A210" s="147"/>
      <c r="B210" s="194" t="s">
        <v>700</v>
      </c>
      <c r="C210" s="557" t="s">
        <v>897</v>
      </c>
      <c r="D210" s="558"/>
      <c r="E210" s="436">
        <v>8</v>
      </c>
      <c r="F210" s="436">
        <f t="shared" si="1"/>
        <v>1012.5</v>
      </c>
      <c r="G210" s="323">
        <v>8100</v>
      </c>
      <c r="H210" s="163"/>
    </row>
    <row r="211" spans="1:8" s="8" customFormat="1" ht="22.5" customHeight="1">
      <c r="A211" s="147"/>
      <c r="B211" s="194" t="s">
        <v>639</v>
      </c>
      <c r="C211" s="557" t="s">
        <v>898</v>
      </c>
      <c r="D211" s="558"/>
      <c r="E211" s="436">
        <v>1</v>
      </c>
      <c r="F211" s="436">
        <f t="shared" si="1"/>
        <v>1500</v>
      </c>
      <c r="G211" s="323">
        <v>1500</v>
      </c>
      <c r="H211" s="163"/>
    </row>
    <row r="212" spans="1:8" s="8" customFormat="1" ht="22.5" customHeight="1">
      <c r="A212" s="147"/>
      <c r="B212" s="194" t="s">
        <v>891</v>
      </c>
      <c r="C212" s="557" t="s">
        <v>899</v>
      </c>
      <c r="D212" s="558"/>
      <c r="E212" s="436">
        <v>2</v>
      </c>
      <c r="F212" s="436">
        <f t="shared" si="1"/>
        <v>100</v>
      </c>
      <c r="G212" s="323">
        <v>200</v>
      </c>
      <c r="H212" s="163"/>
    </row>
    <row r="213" spans="1:8" s="8" customFormat="1" ht="32.25" customHeight="1">
      <c r="A213" s="147"/>
      <c r="B213" s="194" t="s">
        <v>892</v>
      </c>
      <c r="C213" s="557" t="s">
        <v>916</v>
      </c>
      <c r="D213" s="558"/>
      <c r="E213" s="436">
        <v>3</v>
      </c>
      <c r="F213" s="436">
        <f t="shared" si="1"/>
        <v>2893.3333333333335</v>
      </c>
      <c r="G213" s="323">
        <v>8680</v>
      </c>
      <c r="H213" s="163"/>
    </row>
    <row r="214" spans="1:8" s="8" customFormat="1" ht="26.25" customHeight="1" hidden="1">
      <c r="A214" s="147"/>
      <c r="B214" s="194" t="s">
        <v>617</v>
      </c>
      <c r="C214" s="557" t="s">
        <v>618</v>
      </c>
      <c r="D214" s="558"/>
      <c r="E214" s="436">
        <v>150</v>
      </c>
      <c r="F214" s="436">
        <f t="shared" si="1"/>
        <v>0</v>
      </c>
      <c r="G214" s="323">
        <v>0</v>
      </c>
      <c r="H214" s="163"/>
    </row>
    <row r="215" spans="1:8" s="8" customFormat="1" ht="32.25" customHeight="1">
      <c r="A215" s="147"/>
      <c r="B215" s="194" t="s">
        <v>361</v>
      </c>
      <c r="C215" s="557" t="s">
        <v>918</v>
      </c>
      <c r="D215" s="558"/>
      <c r="E215" s="436">
        <v>2</v>
      </c>
      <c r="F215" s="436">
        <f>G215/E215</f>
        <v>360</v>
      </c>
      <c r="G215" s="323">
        <v>720</v>
      </c>
      <c r="H215" s="163"/>
    </row>
    <row r="216" spans="1:8" s="8" customFormat="1" ht="30.75" customHeight="1">
      <c r="A216" s="147"/>
      <c r="B216" s="194" t="s">
        <v>917</v>
      </c>
      <c r="C216" s="557" t="s">
        <v>915</v>
      </c>
      <c r="D216" s="558"/>
      <c r="E216" s="436">
        <v>160</v>
      </c>
      <c r="F216" s="436">
        <f>G216/E216</f>
        <v>72.375</v>
      </c>
      <c r="G216" s="323">
        <f>20000+505+475-8680-720</f>
        <v>11580</v>
      </c>
      <c r="H216" s="163"/>
    </row>
    <row r="217" spans="1:8" s="8" customFormat="1" ht="14.25" customHeight="1">
      <c r="A217" s="147"/>
      <c r="B217" s="574" t="s">
        <v>231</v>
      </c>
      <c r="C217" s="575"/>
      <c r="D217" s="575"/>
      <c r="E217" s="575"/>
      <c r="F217" s="576"/>
      <c r="G217" s="383">
        <f>G205+G213+G206+G207+G208+G209+G210+G211+G212+G215+G216</f>
        <v>50000</v>
      </c>
      <c r="H217" s="163"/>
    </row>
    <row r="218" spans="1:8" s="8" customFormat="1" ht="15" hidden="1">
      <c r="A218" s="147"/>
      <c r="B218" s="559" t="s">
        <v>278</v>
      </c>
      <c r="C218" s="559"/>
      <c r="D218" s="559"/>
      <c r="E218" s="559"/>
      <c r="F218" s="559"/>
      <c r="G218" s="559"/>
      <c r="H218" s="163"/>
    </row>
    <row r="219" spans="1:8" s="8" customFormat="1" ht="15" hidden="1">
      <c r="A219" s="147"/>
      <c r="B219" s="163"/>
      <c r="C219" s="163"/>
      <c r="D219" s="164"/>
      <c r="E219" s="163"/>
      <c r="F219" s="163"/>
      <c r="G219" s="368"/>
      <c r="H219" s="163"/>
    </row>
    <row r="220" spans="1:8" s="8" customFormat="1" ht="30.75" hidden="1">
      <c r="A220" s="147"/>
      <c r="B220" s="50" t="s">
        <v>33</v>
      </c>
      <c r="C220" s="533" t="s">
        <v>40</v>
      </c>
      <c r="D220" s="535"/>
      <c r="E220" s="50" t="s">
        <v>54</v>
      </c>
      <c r="F220" s="50" t="s">
        <v>55</v>
      </c>
      <c r="G220" s="256" t="s">
        <v>47</v>
      </c>
      <c r="H220" s="163"/>
    </row>
    <row r="221" spans="1:8" s="8" customFormat="1" ht="15" hidden="1">
      <c r="A221" s="147"/>
      <c r="B221" s="194">
        <v>1</v>
      </c>
      <c r="C221" s="580">
        <v>2</v>
      </c>
      <c r="D221" s="581"/>
      <c r="E221" s="193">
        <v>3</v>
      </c>
      <c r="F221" s="193">
        <v>4</v>
      </c>
      <c r="G221" s="382">
        <v>5</v>
      </c>
      <c r="H221" s="163"/>
    </row>
    <row r="222" spans="1:8" s="8" customFormat="1" ht="15" hidden="1">
      <c r="A222" s="147"/>
      <c r="B222" s="194"/>
      <c r="C222" s="580"/>
      <c r="D222" s="583"/>
      <c r="E222" s="193"/>
      <c r="F222" s="193"/>
      <c r="G222" s="382"/>
      <c r="H222" s="163"/>
    </row>
    <row r="223" spans="1:8" s="8" customFormat="1" ht="15" hidden="1">
      <c r="A223" s="147"/>
      <c r="B223" s="50"/>
      <c r="C223" s="569"/>
      <c r="D223" s="570"/>
      <c r="E223" s="173"/>
      <c r="F223" s="179"/>
      <c r="G223" s="269"/>
      <c r="H223" s="163"/>
    </row>
    <row r="224" spans="1:8" s="8" customFormat="1" ht="15" hidden="1">
      <c r="A224" s="147"/>
      <c r="B224" s="574" t="s">
        <v>59</v>
      </c>
      <c r="C224" s="575"/>
      <c r="D224" s="575"/>
      <c r="E224" s="575"/>
      <c r="F224" s="576"/>
      <c r="G224" s="383">
        <v>0</v>
      </c>
      <c r="H224" s="163"/>
    </row>
    <row r="225" ht="15" hidden="1"/>
    <row r="226" spans="1:8" s="8" customFormat="1" ht="1.5" customHeight="1" hidden="1">
      <c r="A226" s="147"/>
      <c r="B226" s="559" t="s">
        <v>278</v>
      </c>
      <c r="C226" s="559"/>
      <c r="D226" s="559"/>
      <c r="E226" s="559"/>
      <c r="F226" s="559"/>
      <c r="G226" s="559"/>
      <c r="H226" s="163"/>
    </row>
    <row r="227" spans="1:8" s="8" customFormat="1" ht="1.5" customHeight="1" hidden="1">
      <c r="A227" s="147"/>
      <c r="B227" s="163"/>
      <c r="C227" s="163"/>
      <c r="D227" s="164"/>
      <c r="E227" s="163"/>
      <c r="F227" s="163"/>
      <c r="G227" s="163"/>
      <c r="H227" s="163"/>
    </row>
    <row r="228" spans="1:8" s="8" customFormat="1" ht="26.25" customHeight="1" hidden="1">
      <c r="A228" s="147"/>
      <c r="B228" s="50" t="s">
        <v>33</v>
      </c>
      <c r="C228" s="533" t="s">
        <v>40</v>
      </c>
      <c r="D228" s="535"/>
      <c r="E228" s="50" t="s">
        <v>54</v>
      </c>
      <c r="F228" s="50" t="s">
        <v>55</v>
      </c>
      <c r="G228" s="50" t="s">
        <v>47</v>
      </c>
      <c r="H228" s="163"/>
    </row>
    <row r="229" spans="1:8" s="8" customFormat="1" ht="24.75" customHeight="1" hidden="1">
      <c r="A229" s="147"/>
      <c r="B229" s="194">
        <v>1</v>
      </c>
      <c r="C229" s="580">
        <v>2</v>
      </c>
      <c r="D229" s="583"/>
      <c r="E229" s="193">
        <v>3</v>
      </c>
      <c r="F229" s="193">
        <v>4</v>
      </c>
      <c r="G229" s="30">
        <v>5</v>
      </c>
      <c r="H229" s="163"/>
    </row>
    <row r="230" spans="1:8" s="8" customFormat="1" ht="28.5" customHeight="1" hidden="1">
      <c r="A230" s="147"/>
      <c r="B230" s="194" t="s">
        <v>316</v>
      </c>
      <c r="C230" s="557" t="s">
        <v>800</v>
      </c>
      <c r="D230" s="558"/>
      <c r="E230" s="193" t="s">
        <v>547</v>
      </c>
      <c r="F230" s="218">
        <f>G230/E230</f>
        <v>0</v>
      </c>
      <c r="G230" s="238">
        <f>50000-50000</f>
        <v>0</v>
      </c>
      <c r="H230" s="163"/>
    </row>
    <row r="231" spans="1:8" s="8" customFormat="1" ht="25.5" customHeight="1" hidden="1">
      <c r="A231" s="147"/>
      <c r="B231" s="574" t="s">
        <v>59</v>
      </c>
      <c r="C231" s="575"/>
      <c r="D231" s="575"/>
      <c r="E231" s="575"/>
      <c r="F231" s="576"/>
      <c r="G231" s="68">
        <f>G230</f>
        <v>0</v>
      </c>
      <c r="H231" s="163"/>
    </row>
    <row r="232" spans="1:8" s="8" customFormat="1" ht="15">
      <c r="A232" s="147"/>
      <c r="B232" s="559" t="s">
        <v>279</v>
      </c>
      <c r="C232" s="559"/>
      <c r="D232" s="559"/>
      <c r="E232" s="559"/>
      <c r="F232" s="559"/>
      <c r="G232" s="559"/>
      <c r="H232" s="163"/>
    </row>
    <row r="233" spans="1:8" s="8" customFormat="1" ht="15" hidden="1">
      <c r="A233" s="147"/>
      <c r="B233" s="163"/>
      <c r="C233" s="163"/>
      <c r="D233" s="164"/>
      <c r="E233" s="163"/>
      <c r="F233" s="163"/>
      <c r="G233" s="368"/>
      <c r="H233" s="163"/>
    </row>
    <row r="234" spans="1:8" s="8" customFormat="1" ht="25.5" customHeight="1">
      <c r="A234" s="147"/>
      <c r="B234" s="50" t="s">
        <v>33</v>
      </c>
      <c r="C234" s="533" t="s">
        <v>40</v>
      </c>
      <c r="D234" s="535"/>
      <c r="E234" s="50" t="s">
        <v>54</v>
      </c>
      <c r="F234" s="50" t="s">
        <v>55</v>
      </c>
      <c r="G234" s="256" t="s">
        <v>47</v>
      </c>
      <c r="H234" s="163"/>
    </row>
    <row r="235" spans="1:8" s="8" customFormat="1" ht="15" hidden="1">
      <c r="A235" s="147"/>
      <c r="B235" s="194" t="s">
        <v>316</v>
      </c>
      <c r="C235" s="557" t="s">
        <v>317</v>
      </c>
      <c r="D235" s="558"/>
      <c r="E235" s="193" t="s">
        <v>449</v>
      </c>
      <c r="F235" s="193" t="s">
        <v>318</v>
      </c>
      <c r="G235" s="385">
        <f>1000/2-500</f>
        <v>0</v>
      </c>
      <c r="H235" s="163"/>
    </row>
    <row r="236" spans="1:8" s="8" customFormat="1" ht="15" hidden="1">
      <c r="A236" s="147"/>
      <c r="B236" s="50">
        <v>2</v>
      </c>
      <c r="C236" s="569" t="s">
        <v>319</v>
      </c>
      <c r="D236" s="570"/>
      <c r="E236" s="173">
        <v>100</v>
      </c>
      <c r="F236" s="184">
        <v>10</v>
      </c>
      <c r="G236" s="269">
        <f>2000/2-1000</f>
        <v>0</v>
      </c>
      <c r="H236" s="163"/>
    </row>
    <row r="237" spans="1:8" s="8" customFormat="1" ht="15.75" customHeight="1" hidden="1">
      <c r="A237" s="147"/>
      <c r="B237" s="50">
        <v>3</v>
      </c>
      <c r="C237" s="569" t="s">
        <v>320</v>
      </c>
      <c r="D237" s="570"/>
      <c r="E237" s="173">
        <v>40</v>
      </c>
      <c r="F237" s="184">
        <v>25</v>
      </c>
      <c r="G237" s="269">
        <f>2000/2-1000</f>
        <v>0</v>
      </c>
      <c r="H237" s="163"/>
    </row>
    <row r="238" spans="2:7" ht="15" hidden="1">
      <c r="B238" s="50">
        <v>4</v>
      </c>
      <c r="C238" s="569" t="s">
        <v>321</v>
      </c>
      <c r="D238" s="570"/>
      <c r="E238" s="173">
        <v>50</v>
      </c>
      <c r="F238" s="184">
        <v>20</v>
      </c>
      <c r="G238" s="269">
        <f>2000/2-1000</f>
        <v>0</v>
      </c>
    </row>
    <row r="239" spans="1:7" ht="30" customHeight="1" hidden="1">
      <c r="A239" s="6"/>
      <c r="B239" s="50">
        <v>5</v>
      </c>
      <c r="C239" s="569" t="s">
        <v>357</v>
      </c>
      <c r="D239" s="570"/>
      <c r="E239" s="173">
        <v>50</v>
      </c>
      <c r="F239" s="184">
        <v>100</v>
      </c>
      <c r="G239" s="269">
        <f>10000/2-5000</f>
        <v>0</v>
      </c>
    </row>
    <row r="240" spans="1:7" ht="18.75" customHeight="1" hidden="1">
      <c r="A240" s="6"/>
      <c r="B240" s="333">
        <v>1</v>
      </c>
      <c r="C240" s="578" t="s">
        <v>358</v>
      </c>
      <c r="D240" s="579"/>
      <c r="E240" s="334">
        <v>30</v>
      </c>
      <c r="F240" s="335">
        <f aca="true" t="shared" si="2" ref="F240:F245">G240/E240</f>
        <v>0</v>
      </c>
      <c r="G240" s="269">
        <f>3000-3000</f>
        <v>0</v>
      </c>
    </row>
    <row r="241" spans="1:7" ht="15.75" customHeight="1" hidden="1">
      <c r="A241" s="6"/>
      <c r="B241" s="333">
        <v>2</v>
      </c>
      <c r="C241" s="578" t="s">
        <v>624</v>
      </c>
      <c r="D241" s="579"/>
      <c r="E241" s="334">
        <v>50</v>
      </c>
      <c r="F241" s="335">
        <f t="shared" si="2"/>
        <v>0</v>
      </c>
      <c r="G241" s="269">
        <v>0</v>
      </c>
    </row>
    <row r="242" spans="1:7" ht="72.75" customHeight="1" hidden="1">
      <c r="A242" s="6"/>
      <c r="B242" s="333">
        <v>1</v>
      </c>
      <c r="C242" s="578" t="s">
        <v>637</v>
      </c>
      <c r="D242" s="579"/>
      <c r="E242" s="334">
        <v>30</v>
      </c>
      <c r="F242" s="335">
        <f t="shared" si="2"/>
        <v>0</v>
      </c>
      <c r="G242" s="269">
        <f>25000-2600-510-820-21070</f>
        <v>0</v>
      </c>
    </row>
    <row r="243" spans="1:7" ht="56.25" customHeight="1" hidden="1">
      <c r="A243" s="6"/>
      <c r="B243" s="333">
        <v>1</v>
      </c>
      <c r="C243" s="578" t="s">
        <v>801</v>
      </c>
      <c r="D243" s="579"/>
      <c r="E243" s="334">
        <v>19</v>
      </c>
      <c r="F243" s="335">
        <f t="shared" si="2"/>
        <v>0</v>
      </c>
      <c r="G243" s="269">
        <f>25000-10000-475-6485-8040</f>
        <v>0</v>
      </c>
    </row>
    <row r="244" spans="1:7" ht="30.75" customHeight="1" hidden="1">
      <c r="A244" s="6"/>
      <c r="B244" s="333">
        <v>3</v>
      </c>
      <c r="C244" s="578" t="s">
        <v>660</v>
      </c>
      <c r="D244" s="579"/>
      <c r="E244" s="334">
        <v>3</v>
      </c>
      <c r="F244" s="335">
        <f t="shared" si="2"/>
        <v>0</v>
      </c>
      <c r="G244" s="269">
        <f>5000-850-1200-2950</f>
        <v>0</v>
      </c>
    </row>
    <row r="245" spans="1:7" ht="28.5" customHeight="1">
      <c r="A245" s="6"/>
      <c r="B245" s="333">
        <v>1</v>
      </c>
      <c r="C245" s="578" t="s">
        <v>360</v>
      </c>
      <c r="D245" s="579"/>
      <c r="E245" s="334">
        <v>14</v>
      </c>
      <c r="F245" s="335">
        <f t="shared" si="2"/>
        <v>428.57142857142856</v>
      </c>
      <c r="G245" s="433">
        <v>6000</v>
      </c>
    </row>
    <row r="246" spans="1:7" ht="24" customHeight="1">
      <c r="A246" s="6"/>
      <c r="B246" s="333">
        <v>2</v>
      </c>
      <c r="C246" s="578" t="s">
        <v>904</v>
      </c>
      <c r="D246" s="579"/>
      <c r="E246" s="334">
        <v>5</v>
      </c>
      <c r="F246" s="335">
        <f>G246/E246</f>
        <v>100</v>
      </c>
      <c r="G246" s="433">
        <v>500</v>
      </c>
    </row>
    <row r="247" spans="1:7" ht="25.5" customHeight="1">
      <c r="A247" s="6"/>
      <c r="B247" s="333">
        <v>3</v>
      </c>
      <c r="C247" s="578" t="s">
        <v>919</v>
      </c>
      <c r="D247" s="579"/>
      <c r="E247" s="334">
        <v>4</v>
      </c>
      <c r="F247" s="335">
        <f>G247/E247</f>
        <v>500</v>
      </c>
      <c r="G247" s="433">
        <v>2000</v>
      </c>
    </row>
    <row r="248" spans="1:7" ht="40.5" customHeight="1">
      <c r="A248" s="6"/>
      <c r="B248" s="333">
        <v>4</v>
      </c>
      <c r="C248" s="578" t="s">
        <v>968</v>
      </c>
      <c r="D248" s="579"/>
      <c r="E248" s="334">
        <v>100</v>
      </c>
      <c r="F248" s="335">
        <f>G248/E248</f>
        <v>150</v>
      </c>
      <c r="G248" s="433">
        <v>15000</v>
      </c>
    </row>
    <row r="249" spans="1:7" ht="81" customHeight="1">
      <c r="A249" s="6"/>
      <c r="B249" s="333">
        <v>5</v>
      </c>
      <c r="C249" s="578" t="s">
        <v>637</v>
      </c>
      <c r="D249" s="579"/>
      <c r="E249" s="334">
        <v>1</v>
      </c>
      <c r="F249" s="335">
        <f>G249/E249</f>
        <v>26500</v>
      </c>
      <c r="G249" s="433">
        <v>26500</v>
      </c>
    </row>
    <row r="250" spans="1:7" ht="15">
      <c r="A250" s="6"/>
      <c r="B250" s="574" t="s">
        <v>56</v>
      </c>
      <c r="C250" s="575"/>
      <c r="D250" s="575"/>
      <c r="E250" s="575"/>
      <c r="F250" s="576"/>
      <c r="G250" s="383">
        <f>SUM(G235:G249)</f>
        <v>50000</v>
      </c>
    </row>
    <row r="251" spans="1:7" ht="15" hidden="1">
      <c r="A251" s="6"/>
      <c r="B251" s="582" t="s">
        <v>280</v>
      </c>
      <c r="C251" s="582"/>
      <c r="D251" s="582"/>
      <c r="E251" s="582"/>
      <c r="F251" s="582"/>
      <c r="G251" s="582"/>
    </row>
    <row r="252" spans="1:7" ht="15" hidden="1">
      <c r="A252" s="6"/>
      <c r="B252" s="163"/>
      <c r="C252" s="163"/>
      <c r="D252" s="164"/>
      <c r="E252" s="163"/>
      <c r="F252" s="163"/>
      <c r="G252" s="368"/>
    </row>
    <row r="253" spans="1:7" ht="15" hidden="1">
      <c r="A253" s="6"/>
      <c r="B253" s="194">
        <v>1</v>
      </c>
      <c r="C253" s="580">
        <v>2</v>
      </c>
      <c r="D253" s="581"/>
      <c r="E253" s="193">
        <v>3</v>
      </c>
      <c r="F253" s="193">
        <v>4</v>
      </c>
      <c r="G253" s="382">
        <v>5</v>
      </c>
    </row>
    <row r="254" spans="2:9" s="131" customFormat="1" ht="15" hidden="1">
      <c r="B254" s="194"/>
      <c r="C254" s="580"/>
      <c r="D254" s="583"/>
      <c r="E254" s="193"/>
      <c r="F254" s="193"/>
      <c r="G254" s="382"/>
      <c r="I254" s="6"/>
    </row>
    <row r="255" spans="1:7" ht="15" hidden="1">
      <c r="A255" s="6"/>
      <c r="B255" s="50"/>
      <c r="C255" s="569"/>
      <c r="D255" s="570"/>
      <c r="E255" s="173"/>
      <c r="F255" s="179"/>
      <c r="G255" s="269"/>
    </row>
    <row r="256" spans="2:9" s="131" customFormat="1" ht="36.75" customHeight="1" hidden="1">
      <c r="B256" s="574" t="s">
        <v>232</v>
      </c>
      <c r="C256" s="575"/>
      <c r="D256" s="575"/>
      <c r="E256" s="575"/>
      <c r="F256" s="576"/>
      <c r="G256" s="383">
        <v>0</v>
      </c>
      <c r="I256" s="6"/>
    </row>
    <row r="257" spans="2:9" s="131" customFormat="1" ht="15" hidden="1">
      <c r="B257" s="147"/>
      <c r="C257" s="147"/>
      <c r="D257" s="147"/>
      <c r="E257" s="147"/>
      <c r="F257" s="147"/>
      <c r="G257" s="366"/>
      <c r="I257" s="6"/>
    </row>
    <row r="258" spans="2:9" s="131" customFormat="1" ht="1.5" customHeight="1">
      <c r="B258" s="582" t="s">
        <v>281</v>
      </c>
      <c r="C258" s="582"/>
      <c r="D258" s="582"/>
      <c r="E258" s="582"/>
      <c r="F258" s="582"/>
      <c r="G258" s="582"/>
      <c r="I258" s="6"/>
    </row>
    <row r="259" spans="2:9" s="131" customFormat="1" ht="30.75" hidden="1">
      <c r="B259" s="50" t="s">
        <v>33</v>
      </c>
      <c r="C259" s="533" t="s">
        <v>40</v>
      </c>
      <c r="D259" s="535"/>
      <c r="E259" s="50" t="s">
        <v>54</v>
      </c>
      <c r="F259" s="50" t="s">
        <v>55</v>
      </c>
      <c r="G259" s="256" t="s">
        <v>47</v>
      </c>
      <c r="I259" s="6"/>
    </row>
    <row r="260" spans="2:9" s="131" customFormat="1" ht="15" hidden="1">
      <c r="B260" s="194" t="s">
        <v>316</v>
      </c>
      <c r="C260" s="557" t="s">
        <v>360</v>
      </c>
      <c r="D260" s="558"/>
      <c r="E260" s="267" t="s">
        <v>820</v>
      </c>
      <c r="F260" s="322">
        <f>G260/E260</f>
        <v>0</v>
      </c>
      <c r="G260" s="315">
        <f>10000-1440-8560</f>
        <v>0</v>
      </c>
      <c r="H260" s="316"/>
      <c r="I260" s="6"/>
    </row>
    <row r="261" spans="1:7" ht="15" hidden="1">
      <c r="A261" s="6"/>
      <c r="B261" s="50"/>
      <c r="C261" s="569"/>
      <c r="D261" s="570"/>
      <c r="E261" s="173"/>
      <c r="F261" s="179"/>
      <c r="G261" s="269"/>
    </row>
    <row r="262" spans="2:9" s="131" customFormat="1" ht="15" hidden="1">
      <c r="B262" s="194" t="s">
        <v>570</v>
      </c>
      <c r="C262" s="557" t="s">
        <v>802</v>
      </c>
      <c r="D262" s="558"/>
      <c r="E262" s="432" t="s">
        <v>547</v>
      </c>
      <c r="F262" s="436">
        <f>G262/E262</f>
        <v>0</v>
      </c>
      <c r="G262" s="435">
        <f>5000-5000</f>
        <v>0</v>
      </c>
      <c r="H262" s="316"/>
      <c r="I262" s="6"/>
    </row>
    <row r="263" spans="2:9" s="131" customFormat="1" ht="15" hidden="1">
      <c r="B263" s="574" t="s">
        <v>58</v>
      </c>
      <c r="C263" s="575"/>
      <c r="D263" s="575"/>
      <c r="E263" s="575"/>
      <c r="F263" s="576"/>
      <c r="G263" s="383">
        <f>G260+G262</f>
        <v>0</v>
      </c>
      <c r="I263" s="6"/>
    </row>
    <row r="264" spans="2:9" s="131" customFormat="1" ht="15" hidden="1">
      <c r="B264" s="176"/>
      <c r="C264" s="176"/>
      <c r="D264" s="176"/>
      <c r="E264" s="176"/>
      <c r="F264" s="176"/>
      <c r="G264" s="384"/>
      <c r="I264" s="6"/>
    </row>
    <row r="265" spans="1:9" ht="15">
      <c r="A265" s="6"/>
      <c r="H265" s="266" t="str">
        <f>'Пр.1Титульный лист'!L15</f>
        <v>22.12.2023</v>
      </c>
      <c r="I265" s="245"/>
    </row>
    <row r="266" spans="1:8" ht="15">
      <c r="A266" s="6"/>
      <c r="B266" s="577" t="s">
        <v>712</v>
      </c>
      <c r="C266" s="577"/>
      <c r="D266" s="577"/>
      <c r="E266" s="577"/>
      <c r="F266" s="577"/>
      <c r="G266" s="577"/>
      <c r="H266" s="577"/>
    </row>
    <row r="267" spans="1:8" ht="15">
      <c r="A267" s="6"/>
      <c r="B267" s="577" t="s">
        <v>13</v>
      </c>
      <c r="C267" s="577"/>
      <c r="D267" s="577"/>
      <c r="E267" s="577"/>
      <c r="F267" s="577"/>
      <c r="G267" s="577"/>
      <c r="H267" s="577"/>
    </row>
    <row r="268" spans="1:8" ht="15">
      <c r="A268" s="6"/>
      <c r="B268" s="591" t="s">
        <v>808</v>
      </c>
      <c r="C268" s="577"/>
      <c r="D268" s="577"/>
      <c r="E268" s="577"/>
      <c r="F268" s="577"/>
      <c r="G268" s="577"/>
      <c r="H268" s="577"/>
    </row>
    <row r="269" spans="1:8" ht="15">
      <c r="A269" s="6"/>
      <c r="B269" s="594" t="s">
        <v>673</v>
      </c>
      <c r="C269" s="594"/>
      <c r="D269" s="594"/>
      <c r="E269" s="594"/>
      <c r="F269" s="594"/>
      <c r="G269" s="594"/>
      <c r="H269" s="594"/>
    </row>
    <row r="270" spans="1:8" ht="15">
      <c r="A270" s="6"/>
      <c r="B270" s="577" t="s">
        <v>259</v>
      </c>
      <c r="C270" s="577"/>
      <c r="D270" s="577"/>
      <c r="E270" s="577"/>
      <c r="F270" s="577"/>
      <c r="G270" s="577"/>
      <c r="H270" s="577"/>
    </row>
    <row r="271" spans="1:8" ht="15">
      <c r="A271" s="6"/>
      <c r="B271" s="595" t="s">
        <v>219</v>
      </c>
      <c r="C271" s="595"/>
      <c r="D271" s="595"/>
      <c r="E271" s="595"/>
      <c r="F271" s="595"/>
      <c r="G271" s="595"/>
      <c r="H271" s="595"/>
    </row>
    <row r="272" spans="1:8" ht="15">
      <c r="A272" s="6"/>
      <c r="B272" s="577" t="s">
        <v>439</v>
      </c>
      <c r="C272" s="577"/>
      <c r="D272" s="577"/>
      <c r="E272" s="577"/>
      <c r="F272" s="577"/>
      <c r="G272" s="577"/>
      <c r="H272" s="577"/>
    </row>
    <row r="273" spans="2:8" ht="15">
      <c r="B273" s="592" t="s">
        <v>324</v>
      </c>
      <c r="C273" s="593"/>
      <c r="D273" s="592" t="s">
        <v>19</v>
      </c>
      <c r="E273" s="593"/>
      <c r="F273" s="592" t="s">
        <v>325</v>
      </c>
      <c r="G273" s="593"/>
      <c r="H273" s="596" t="s">
        <v>326</v>
      </c>
    </row>
    <row r="274" spans="2:8" ht="15">
      <c r="B274" s="152" t="s">
        <v>16</v>
      </c>
      <c r="C274" s="152" t="s">
        <v>17</v>
      </c>
      <c r="D274" s="152" t="s">
        <v>16</v>
      </c>
      <c r="E274" s="152" t="s">
        <v>17</v>
      </c>
      <c r="F274" s="152" t="s">
        <v>16</v>
      </c>
      <c r="G274" s="321" t="s">
        <v>17</v>
      </c>
      <c r="H274" s="597"/>
    </row>
    <row r="275" spans="2:8" ht="15">
      <c r="B275" s="152">
        <v>1</v>
      </c>
      <c r="C275" s="152">
        <v>2</v>
      </c>
      <c r="D275" s="152">
        <v>3</v>
      </c>
      <c r="E275" s="152">
        <v>4</v>
      </c>
      <c r="F275" s="152">
        <v>5</v>
      </c>
      <c r="G275" s="321">
        <v>6</v>
      </c>
      <c r="H275" s="153">
        <v>7</v>
      </c>
    </row>
    <row r="276" spans="2:8" ht="15">
      <c r="B276" s="257">
        <v>439976.9</v>
      </c>
      <c r="C276" s="257">
        <f>H276</f>
        <v>6969115.21</v>
      </c>
      <c r="D276" s="258">
        <f>H276/12</f>
        <v>580759.6008333333</v>
      </c>
      <c r="E276" s="258">
        <f>H276</f>
        <v>6969115.21</v>
      </c>
      <c r="F276" s="258">
        <v>439976.9</v>
      </c>
      <c r="G276" s="258">
        <f>H276</f>
        <v>6969115.21</v>
      </c>
      <c r="H276" s="259">
        <v>6969115.21</v>
      </c>
    </row>
    <row r="277" spans="2:8" ht="15">
      <c r="B277" s="598" t="s">
        <v>233</v>
      </c>
      <c r="C277" s="599"/>
      <c r="D277" s="599"/>
      <c r="E277" s="599"/>
      <c r="F277" s="599"/>
      <c r="G277" s="600"/>
      <c r="H277" s="157">
        <f>H276</f>
        <v>6969115.21</v>
      </c>
    </row>
    <row r="278" spans="2:8" ht="35.25" customHeight="1">
      <c r="B278" s="601" t="s">
        <v>970</v>
      </c>
      <c r="C278" s="602"/>
      <c r="D278" s="602"/>
      <c r="E278" s="602"/>
      <c r="F278" s="602"/>
      <c r="G278" s="602"/>
      <c r="H278" s="602"/>
    </row>
    <row r="279" spans="2:8" ht="21" customHeight="1">
      <c r="B279" s="613" t="s">
        <v>964</v>
      </c>
      <c r="C279" s="614"/>
      <c r="D279" s="614"/>
      <c r="E279" s="614"/>
      <c r="F279" s="614"/>
      <c r="G279" s="614"/>
      <c r="H279" s="614"/>
    </row>
    <row r="280" spans="1:8" ht="15" hidden="1">
      <c r="A280" s="147"/>
      <c r="B280" s="582" t="s">
        <v>260</v>
      </c>
      <c r="C280" s="582"/>
      <c r="D280" s="582"/>
      <c r="E280" s="582"/>
      <c r="F280" s="582"/>
      <c r="G280" s="582"/>
      <c r="H280" s="163"/>
    </row>
    <row r="281" spans="1:8" ht="30.75" hidden="1">
      <c r="A281" s="147"/>
      <c r="B281" s="50" t="s">
        <v>33</v>
      </c>
      <c r="C281" s="533" t="s">
        <v>40</v>
      </c>
      <c r="D281" s="535"/>
      <c r="E281" s="50" t="s">
        <v>45</v>
      </c>
      <c r="F281" s="50" t="s">
        <v>46</v>
      </c>
      <c r="G281" s="256" t="s">
        <v>47</v>
      </c>
      <c r="H281" s="163"/>
    </row>
    <row r="282" spans="1:8" ht="15" hidden="1">
      <c r="A282" s="147"/>
      <c r="B282" s="50">
        <v>1</v>
      </c>
      <c r="C282" s="609" t="s">
        <v>327</v>
      </c>
      <c r="D282" s="611"/>
      <c r="E282" s="50">
        <v>34</v>
      </c>
      <c r="F282" s="238">
        <v>1470.59</v>
      </c>
      <c r="G282" s="255">
        <v>0</v>
      </c>
      <c r="H282" s="163"/>
    </row>
    <row r="283" spans="1:8" ht="15" hidden="1">
      <c r="A283" s="147"/>
      <c r="B283" s="585" t="s">
        <v>222</v>
      </c>
      <c r="C283" s="586"/>
      <c r="D283" s="587"/>
      <c r="E283" s="50" t="s">
        <v>35</v>
      </c>
      <c r="F283" s="170" t="s">
        <v>35</v>
      </c>
      <c r="G283" s="362">
        <f>SUM(G282:G282)</f>
        <v>0</v>
      </c>
      <c r="H283" s="163"/>
    </row>
    <row r="284" spans="2:8" ht="15" hidden="1">
      <c r="B284" s="185"/>
      <c r="C284" s="185"/>
      <c r="D284" s="185"/>
      <c r="E284" s="185"/>
      <c r="F284" s="185"/>
      <c r="G284" s="386"/>
      <c r="H284" s="186"/>
    </row>
    <row r="285" spans="1:8" ht="69" customHeight="1">
      <c r="A285" s="6"/>
      <c r="B285" s="577" t="s">
        <v>262</v>
      </c>
      <c r="C285" s="577"/>
      <c r="D285" s="577"/>
      <c r="E285" s="577"/>
      <c r="F285" s="577"/>
      <c r="G285" s="577"/>
      <c r="H285" s="166"/>
    </row>
    <row r="286" spans="1:7" ht="62.25">
      <c r="A286" s="6"/>
      <c r="B286" s="50" t="s">
        <v>33</v>
      </c>
      <c r="C286" s="533" t="s">
        <v>21</v>
      </c>
      <c r="D286" s="534"/>
      <c r="E286" s="535"/>
      <c r="F286" s="50" t="s">
        <v>22</v>
      </c>
      <c r="G286" s="256" t="s">
        <v>23</v>
      </c>
    </row>
    <row r="287" spans="1:7" ht="35.25" customHeight="1">
      <c r="A287" s="6"/>
      <c r="B287" s="118">
        <v>1</v>
      </c>
      <c r="C287" s="609" t="s">
        <v>34</v>
      </c>
      <c r="D287" s="610"/>
      <c r="E287" s="611"/>
      <c r="F287" s="118" t="s">
        <v>35</v>
      </c>
      <c r="G287" s="364">
        <f>SUM(G288:G290)</f>
        <v>1533205.3462</v>
      </c>
    </row>
    <row r="288" spans="1:7" ht="15">
      <c r="A288" s="6"/>
      <c r="B288" s="118" t="s">
        <v>24</v>
      </c>
      <c r="C288" s="609" t="s">
        <v>36</v>
      </c>
      <c r="D288" s="610"/>
      <c r="E288" s="611"/>
      <c r="F288" s="159">
        <f>H276</f>
        <v>6969115.21</v>
      </c>
      <c r="G288" s="364">
        <f>F288*22%</f>
        <v>1533205.3462</v>
      </c>
    </row>
    <row r="289" spans="1:7" ht="15">
      <c r="A289" s="6"/>
      <c r="B289" s="160" t="s">
        <v>25</v>
      </c>
      <c r="C289" s="609" t="s">
        <v>37</v>
      </c>
      <c r="D289" s="610"/>
      <c r="E289" s="611"/>
      <c r="F289" s="159"/>
      <c r="G289" s="364"/>
    </row>
    <row r="290" spans="1:7" ht="53.25" customHeight="1" hidden="1">
      <c r="A290" s="6"/>
      <c r="B290" s="118" t="s">
        <v>26</v>
      </c>
      <c r="C290" s="609" t="s">
        <v>77</v>
      </c>
      <c r="D290" s="610"/>
      <c r="E290" s="611"/>
      <c r="F290" s="159"/>
      <c r="G290" s="364"/>
    </row>
    <row r="291" spans="1:7" ht="34.5" customHeight="1">
      <c r="A291" s="6"/>
      <c r="B291" s="118">
        <v>2</v>
      </c>
      <c r="C291" s="609" t="s">
        <v>27</v>
      </c>
      <c r="D291" s="610"/>
      <c r="E291" s="611"/>
      <c r="F291" s="118" t="s">
        <v>35</v>
      </c>
      <c r="G291" s="364">
        <f>SUM(G292:G296)</f>
        <v>216042.57150999998</v>
      </c>
    </row>
    <row r="292" spans="1:7" ht="37.5" customHeight="1">
      <c r="A292" s="6"/>
      <c r="B292" s="118" t="s">
        <v>28</v>
      </c>
      <c r="C292" s="609" t="s">
        <v>78</v>
      </c>
      <c r="D292" s="610"/>
      <c r="E292" s="611"/>
      <c r="F292" s="159">
        <f>F288</f>
        <v>6969115.21</v>
      </c>
      <c r="G292" s="364">
        <f>F292*2.9%</f>
        <v>202104.34108999997</v>
      </c>
    </row>
    <row r="293" spans="1:7" ht="33.75" customHeight="1" hidden="1">
      <c r="A293" s="6"/>
      <c r="B293" s="118" t="s">
        <v>29</v>
      </c>
      <c r="C293" s="609" t="s">
        <v>79</v>
      </c>
      <c r="D293" s="610"/>
      <c r="E293" s="611"/>
      <c r="F293" s="159"/>
      <c r="G293" s="364"/>
    </row>
    <row r="294" spans="1:7" ht="45.75" customHeight="1">
      <c r="A294" s="6"/>
      <c r="B294" s="118" t="s">
        <v>29</v>
      </c>
      <c r="C294" s="609" t="s">
        <v>76</v>
      </c>
      <c r="D294" s="610"/>
      <c r="E294" s="611"/>
      <c r="F294" s="159">
        <f>F292</f>
        <v>6969115.21</v>
      </c>
      <c r="G294" s="364">
        <f>F294*0.2%</f>
        <v>13938.23042</v>
      </c>
    </row>
    <row r="295" spans="1:7" ht="49.5" customHeight="1" hidden="1">
      <c r="A295" s="6"/>
      <c r="B295" s="118" t="s">
        <v>31</v>
      </c>
      <c r="C295" s="609" t="s">
        <v>80</v>
      </c>
      <c r="D295" s="610"/>
      <c r="E295" s="611"/>
      <c r="F295" s="159"/>
      <c r="G295" s="364"/>
    </row>
    <row r="296" spans="1:7" ht="43.5" customHeight="1" hidden="1">
      <c r="A296" s="6"/>
      <c r="B296" s="118" t="s">
        <v>32</v>
      </c>
      <c r="C296" s="609" t="s">
        <v>80</v>
      </c>
      <c r="D296" s="610"/>
      <c r="E296" s="611"/>
      <c r="F296" s="159"/>
      <c r="G296" s="364"/>
    </row>
    <row r="297" spans="1:7" ht="41.25" customHeight="1">
      <c r="A297" s="6"/>
      <c r="B297" s="118" t="s">
        <v>38</v>
      </c>
      <c r="C297" s="609" t="s">
        <v>39</v>
      </c>
      <c r="D297" s="610"/>
      <c r="E297" s="611"/>
      <c r="F297" s="159">
        <f>F294</f>
        <v>6969115.21</v>
      </c>
      <c r="G297" s="364">
        <f>F297*5.1%</f>
        <v>355424.87571</v>
      </c>
    </row>
    <row r="298" spans="1:7" ht="15">
      <c r="A298" s="6"/>
      <c r="B298" s="574" t="s">
        <v>72</v>
      </c>
      <c r="C298" s="575"/>
      <c r="D298" s="575"/>
      <c r="E298" s="576"/>
      <c r="F298" s="118" t="s">
        <v>35</v>
      </c>
      <c r="G298" s="365">
        <f>G287+G291+G297</f>
        <v>2104672.79342</v>
      </c>
    </row>
    <row r="300" spans="2:7" ht="15" hidden="1">
      <c r="B300" s="559" t="s">
        <v>263</v>
      </c>
      <c r="C300" s="559"/>
      <c r="D300" s="559"/>
      <c r="E300" s="559"/>
      <c r="F300" s="559"/>
      <c r="G300" s="559"/>
    </row>
    <row r="301" spans="2:7" ht="15" hidden="1">
      <c r="B301" s="608" t="s">
        <v>220</v>
      </c>
      <c r="C301" s="608"/>
      <c r="D301" s="608"/>
      <c r="E301" s="608"/>
      <c r="F301" s="608"/>
      <c r="G301" s="608"/>
    </row>
    <row r="302" spans="2:7" ht="15" hidden="1">
      <c r="B302" s="163"/>
      <c r="C302" s="165"/>
      <c r="D302" s="163"/>
      <c r="E302" s="163"/>
      <c r="F302" s="163"/>
      <c r="G302" s="368"/>
    </row>
    <row r="303" spans="2:7" ht="78" hidden="1">
      <c r="B303" s="50" t="s">
        <v>33</v>
      </c>
      <c r="C303" s="530" t="s">
        <v>40</v>
      </c>
      <c r="D303" s="530"/>
      <c r="E303" s="50" t="s">
        <v>41</v>
      </c>
      <c r="F303" s="50" t="s">
        <v>42</v>
      </c>
      <c r="G303" s="256" t="s">
        <v>43</v>
      </c>
    </row>
    <row r="304" spans="2:7" ht="15" hidden="1">
      <c r="B304" s="50">
        <v>1</v>
      </c>
      <c r="C304" s="530">
        <v>2</v>
      </c>
      <c r="D304" s="530"/>
      <c r="E304" s="50">
        <v>3</v>
      </c>
      <c r="F304" s="50">
        <v>4</v>
      </c>
      <c r="G304" s="256">
        <v>5</v>
      </c>
    </row>
    <row r="305" spans="2:7" ht="15" hidden="1">
      <c r="B305" s="50">
        <v>1</v>
      </c>
      <c r="C305" s="609" t="s">
        <v>328</v>
      </c>
      <c r="D305" s="611"/>
      <c r="E305" s="216" t="s">
        <v>330</v>
      </c>
      <c r="F305" s="216" t="s">
        <v>330</v>
      </c>
      <c r="G305" s="269">
        <v>0</v>
      </c>
    </row>
    <row r="306" spans="2:7" ht="15" hidden="1">
      <c r="B306" s="50">
        <v>2</v>
      </c>
      <c r="C306" s="567" t="s">
        <v>329</v>
      </c>
      <c r="D306" s="567"/>
      <c r="E306" s="216" t="s">
        <v>330</v>
      </c>
      <c r="F306" s="216" t="s">
        <v>330</v>
      </c>
      <c r="G306" s="269">
        <v>0</v>
      </c>
    </row>
    <row r="307" spans="1:8" ht="15" hidden="1">
      <c r="A307" s="166"/>
      <c r="B307" s="585" t="s">
        <v>223</v>
      </c>
      <c r="C307" s="586"/>
      <c r="D307" s="587"/>
      <c r="E307" s="25"/>
      <c r="F307" s="122"/>
      <c r="G307" s="370">
        <f>SUM(G305:G306)</f>
        <v>0</v>
      </c>
      <c r="H307" s="166"/>
    </row>
    <row r="308" ht="15" hidden="1"/>
    <row r="309" spans="2:8" ht="15">
      <c r="B309" s="559" t="s">
        <v>264</v>
      </c>
      <c r="C309" s="559"/>
      <c r="D309" s="559"/>
      <c r="E309" s="559"/>
      <c r="F309" s="559"/>
      <c r="G309" s="559"/>
      <c r="H309" s="168"/>
    </row>
    <row r="310" spans="2:8" ht="15">
      <c r="B310" s="608" t="s">
        <v>556</v>
      </c>
      <c r="C310" s="608"/>
      <c r="D310" s="608"/>
      <c r="E310" s="608"/>
      <c r="F310" s="608"/>
      <c r="G310" s="608"/>
      <c r="H310" s="168"/>
    </row>
    <row r="311" spans="1:8" ht="15">
      <c r="A311" s="147"/>
      <c r="B311" s="559" t="s">
        <v>265</v>
      </c>
      <c r="C311" s="559"/>
      <c r="D311" s="559"/>
      <c r="E311" s="559"/>
      <c r="F311" s="559"/>
      <c r="G311" s="559"/>
      <c r="H311" s="163"/>
    </row>
    <row r="312" spans="1:8" ht="30.75">
      <c r="A312" s="147"/>
      <c r="B312" s="50" t="s">
        <v>33</v>
      </c>
      <c r="C312" s="50" t="s">
        <v>40</v>
      </c>
      <c r="D312" s="50" t="s">
        <v>44</v>
      </c>
      <c r="E312" s="50" t="s">
        <v>45</v>
      </c>
      <c r="F312" s="50" t="s">
        <v>46</v>
      </c>
      <c r="G312" s="256" t="s">
        <v>47</v>
      </c>
      <c r="H312" s="163"/>
    </row>
    <row r="313" spans="1:8" ht="15">
      <c r="A313" s="147"/>
      <c r="B313" s="50">
        <v>1</v>
      </c>
      <c r="C313" s="36" t="s">
        <v>2</v>
      </c>
      <c r="D313" s="50">
        <v>1</v>
      </c>
      <c r="E313" s="256">
        <v>12</v>
      </c>
      <c r="F313" s="255">
        <f>G313/E313</f>
        <v>166.66666666666666</v>
      </c>
      <c r="G313" s="255">
        <v>2000</v>
      </c>
      <c r="H313" s="163"/>
    </row>
    <row r="314" spans="1:8" ht="15" hidden="1">
      <c r="A314" s="147"/>
      <c r="B314" s="50"/>
      <c r="C314" s="36"/>
      <c r="D314" s="50"/>
      <c r="E314" s="50"/>
      <c r="F314" s="169"/>
      <c r="G314" s="269"/>
      <c r="H314" s="163"/>
    </row>
    <row r="315" spans="1:8" ht="15">
      <c r="A315" s="147"/>
      <c r="B315" s="585" t="s">
        <v>70</v>
      </c>
      <c r="C315" s="586"/>
      <c r="D315" s="586"/>
      <c r="E315" s="586"/>
      <c r="F315" s="587"/>
      <c r="G315" s="362">
        <f>SUM(G313:G314)</f>
        <v>2000</v>
      </c>
      <c r="H315" s="163"/>
    </row>
    <row r="316" spans="1:8" ht="15" hidden="1">
      <c r="A316" s="147"/>
      <c r="B316" s="559" t="s">
        <v>266</v>
      </c>
      <c r="C316" s="559"/>
      <c r="D316" s="559"/>
      <c r="E316" s="559"/>
      <c r="F316" s="559"/>
      <c r="G316" s="559"/>
      <c r="H316" s="163"/>
    </row>
    <row r="317" spans="1:8" ht="15" hidden="1">
      <c r="A317" s="147"/>
      <c r="B317" s="163"/>
      <c r="C317" s="163"/>
      <c r="D317" s="164"/>
      <c r="E317" s="163"/>
      <c r="F317" s="163"/>
      <c r="G317" s="368"/>
      <c r="H317" s="163"/>
    </row>
    <row r="318" spans="1:8" ht="30.75" hidden="1">
      <c r="A318" s="147"/>
      <c r="B318" s="50" t="s">
        <v>33</v>
      </c>
      <c r="C318" s="50" t="s">
        <v>40</v>
      </c>
      <c r="D318" s="50" t="s">
        <v>283</v>
      </c>
      <c r="E318" s="533" t="s">
        <v>284</v>
      </c>
      <c r="F318" s="535"/>
      <c r="G318" s="256" t="s">
        <v>47</v>
      </c>
      <c r="H318" s="163"/>
    </row>
    <row r="319" spans="1:8" ht="15" hidden="1">
      <c r="A319" s="147"/>
      <c r="B319" s="50">
        <v>1</v>
      </c>
      <c r="C319" s="50">
        <v>2</v>
      </c>
      <c r="D319" s="50">
        <v>3</v>
      </c>
      <c r="E319" s="533">
        <v>4</v>
      </c>
      <c r="F319" s="535"/>
      <c r="G319" s="256">
        <v>5</v>
      </c>
      <c r="H319" s="163"/>
    </row>
    <row r="320" spans="1:8" ht="15" hidden="1">
      <c r="A320" s="147"/>
      <c r="B320" s="50"/>
      <c r="C320" s="50"/>
      <c r="D320" s="50"/>
      <c r="E320" s="533"/>
      <c r="F320" s="535"/>
      <c r="G320" s="256"/>
      <c r="H320" s="163"/>
    </row>
    <row r="321" spans="1:8" ht="15" hidden="1">
      <c r="A321" s="147"/>
      <c r="B321" s="50"/>
      <c r="C321" s="36"/>
      <c r="D321" s="50"/>
      <c r="E321" s="533"/>
      <c r="F321" s="535"/>
      <c r="G321" s="269"/>
      <c r="H321" s="163"/>
    </row>
    <row r="322" spans="1:8" ht="15" hidden="1">
      <c r="A322" s="147"/>
      <c r="B322" s="585" t="s">
        <v>226</v>
      </c>
      <c r="C322" s="586"/>
      <c r="D322" s="586"/>
      <c r="E322" s="586"/>
      <c r="F322" s="587"/>
      <c r="G322" s="362">
        <f>SUM(G321:G321)</f>
        <v>0</v>
      </c>
      <c r="H322" s="163"/>
    </row>
    <row r="323" spans="1:8" ht="15" hidden="1">
      <c r="A323" s="147"/>
      <c r="B323" s="171"/>
      <c r="C323" s="171"/>
      <c r="D323" s="171"/>
      <c r="E323" s="171"/>
      <c r="F323" s="171"/>
      <c r="G323" s="371"/>
      <c r="H323" s="163"/>
    </row>
    <row r="324" spans="1:8" ht="15">
      <c r="A324" s="147"/>
      <c r="B324" s="621" t="s">
        <v>267</v>
      </c>
      <c r="C324" s="621"/>
      <c r="D324" s="621"/>
      <c r="E324" s="621"/>
      <c r="F324" s="621"/>
      <c r="G324" s="621"/>
      <c r="H324" s="163"/>
    </row>
    <row r="325" spans="1:8" ht="46.5">
      <c r="A325" s="147"/>
      <c r="B325" s="50" t="s">
        <v>33</v>
      </c>
      <c r="C325" s="530" t="s">
        <v>40</v>
      </c>
      <c r="D325" s="530"/>
      <c r="E325" s="50" t="s">
        <v>84</v>
      </c>
      <c r="F325" s="50" t="s">
        <v>48</v>
      </c>
      <c r="G325" s="256" t="s">
        <v>47</v>
      </c>
      <c r="H325" s="163"/>
    </row>
    <row r="326" spans="1:8" ht="20.25" customHeight="1">
      <c r="A326" s="147"/>
      <c r="B326" s="50">
        <v>1</v>
      </c>
      <c r="C326" s="567" t="s">
        <v>311</v>
      </c>
      <c r="D326" s="567"/>
      <c r="E326" s="238">
        <f aca="true" t="shared" si="3" ref="E326:E332">G326/F326</f>
        <v>64454.27728613569</v>
      </c>
      <c r="F326" s="238">
        <v>6.78</v>
      </c>
      <c r="G326" s="255">
        <f>382000+55000</f>
        <v>437000</v>
      </c>
      <c r="H326" s="163"/>
    </row>
    <row r="327" spans="1:8" ht="18.75" customHeight="1">
      <c r="A327" s="147"/>
      <c r="B327" s="50">
        <v>2</v>
      </c>
      <c r="C327" s="567" t="s">
        <v>331</v>
      </c>
      <c r="D327" s="567"/>
      <c r="E327" s="238">
        <f t="shared" si="3"/>
        <v>695.3303366603338</v>
      </c>
      <c r="F327" s="238">
        <v>1826.47</v>
      </c>
      <c r="G327" s="255">
        <f>1220000+50000</f>
        <v>1270000</v>
      </c>
      <c r="H327" s="163"/>
    </row>
    <row r="328" spans="1:8" ht="15">
      <c r="A328" s="147"/>
      <c r="B328" s="50">
        <v>3</v>
      </c>
      <c r="C328" s="567" t="s">
        <v>332</v>
      </c>
      <c r="D328" s="567"/>
      <c r="E328" s="238">
        <f t="shared" si="3"/>
        <v>899.2805755395683</v>
      </c>
      <c r="F328" s="238">
        <v>116.76</v>
      </c>
      <c r="G328" s="255">
        <v>105000</v>
      </c>
      <c r="H328" s="163"/>
    </row>
    <row r="329" spans="1:8" s="9" customFormat="1" ht="15.75" customHeight="1">
      <c r="A329" s="172"/>
      <c r="B329" s="585" t="s">
        <v>711</v>
      </c>
      <c r="C329" s="586"/>
      <c r="D329" s="586"/>
      <c r="E329" s="586"/>
      <c r="F329" s="587"/>
      <c r="G329" s="362">
        <f>G327+G326+G328</f>
        <v>1812000</v>
      </c>
      <c r="H329" s="22"/>
    </row>
    <row r="330" spans="1:8" ht="15">
      <c r="A330" s="147"/>
      <c r="B330" s="50">
        <v>4</v>
      </c>
      <c r="C330" s="567" t="s">
        <v>333</v>
      </c>
      <c r="D330" s="567"/>
      <c r="E330" s="238">
        <f t="shared" si="3"/>
        <v>2379.707112970711</v>
      </c>
      <c r="F330" s="238">
        <v>19.12</v>
      </c>
      <c r="G330" s="255">
        <f>40500+5000</f>
        <v>45500</v>
      </c>
      <c r="H330" s="163"/>
    </row>
    <row r="331" spans="1:8" ht="15">
      <c r="A331" s="147"/>
      <c r="B331" s="50">
        <v>5</v>
      </c>
      <c r="C331" s="567" t="s">
        <v>334</v>
      </c>
      <c r="D331" s="567"/>
      <c r="E331" s="238">
        <f t="shared" si="3"/>
        <v>2847.415660786134</v>
      </c>
      <c r="F331" s="238">
        <v>32.31</v>
      </c>
      <c r="G331" s="255">
        <f>87000+5000</f>
        <v>92000</v>
      </c>
      <c r="H331" s="163"/>
    </row>
    <row r="332" spans="1:8" ht="15">
      <c r="A332" s="147"/>
      <c r="B332" s="50">
        <v>6</v>
      </c>
      <c r="C332" s="567" t="s">
        <v>335</v>
      </c>
      <c r="D332" s="567"/>
      <c r="E332" s="238">
        <f t="shared" si="3"/>
        <v>11.69422721999273</v>
      </c>
      <c r="F332" s="238">
        <v>4318.37</v>
      </c>
      <c r="G332" s="255">
        <f>47000+3500</f>
        <v>50500</v>
      </c>
      <c r="H332" s="163"/>
    </row>
    <row r="333" spans="1:8" s="9" customFormat="1" ht="15.75" customHeight="1">
      <c r="A333" s="172"/>
      <c r="B333" s="585" t="s">
        <v>710</v>
      </c>
      <c r="C333" s="586"/>
      <c r="D333" s="586"/>
      <c r="E333" s="586"/>
      <c r="F333" s="587"/>
      <c r="G333" s="362">
        <f>G330+G331+G332</f>
        <v>188000</v>
      </c>
      <c r="H333" s="22"/>
    </row>
    <row r="334" spans="1:8" ht="15">
      <c r="A334" s="172"/>
      <c r="B334" s="585" t="s">
        <v>73</v>
      </c>
      <c r="C334" s="586"/>
      <c r="D334" s="586"/>
      <c r="E334" s="586"/>
      <c r="F334" s="587"/>
      <c r="G334" s="362">
        <f>SUM(G329+G333)</f>
        <v>2000000</v>
      </c>
      <c r="H334" s="22"/>
    </row>
    <row r="335" spans="1:8" ht="15" hidden="1">
      <c r="A335" s="172"/>
      <c r="B335" s="582" t="s">
        <v>268</v>
      </c>
      <c r="C335" s="582"/>
      <c r="D335" s="582"/>
      <c r="E335" s="582"/>
      <c r="F335" s="582"/>
      <c r="G335" s="582"/>
      <c r="H335" s="22"/>
    </row>
    <row r="336" spans="1:8" ht="15" hidden="1">
      <c r="A336" s="172"/>
      <c r="B336" s="163"/>
      <c r="C336" s="163"/>
      <c r="D336" s="164"/>
      <c r="E336" s="163"/>
      <c r="F336" s="163"/>
      <c r="G336" s="368"/>
      <c r="H336" s="22"/>
    </row>
    <row r="337" spans="1:8" ht="30.75" hidden="1">
      <c r="A337" s="172"/>
      <c r="B337" s="50" t="s">
        <v>33</v>
      </c>
      <c r="C337" s="50" t="s">
        <v>40</v>
      </c>
      <c r="D337" s="50" t="s">
        <v>54</v>
      </c>
      <c r="E337" s="27" t="s">
        <v>285</v>
      </c>
      <c r="F337" s="50" t="s">
        <v>47</v>
      </c>
      <c r="G337" s="373"/>
      <c r="H337" s="22"/>
    </row>
    <row r="338" spans="1:8" ht="15" hidden="1">
      <c r="A338" s="172"/>
      <c r="B338" s="118">
        <v>1</v>
      </c>
      <c r="C338" s="118">
        <v>2</v>
      </c>
      <c r="D338" s="118">
        <v>3</v>
      </c>
      <c r="E338" s="158">
        <v>4</v>
      </c>
      <c r="F338" s="50">
        <v>5</v>
      </c>
      <c r="G338" s="373"/>
      <c r="H338" s="22"/>
    </row>
    <row r="339" spans="1:8" ht="15" hidden="1">
      <c r="A339" s="172"/>
      <c r="B339" s="118"/>
      <c r="C339" s="50"/>
      <c r="D339" s="118"/>
      <c r="E339" s="158"/>
      <c r="F339" s="187"/>
      <c r="G339" s="373"/>
      <c r="H339" s="22"/>
    </row>
    <row r="340" spans="1:8" ht="15" hidden="1">
      <c r="A340" s="172"/>
      <c r="B340" s="118"/>
      <c r="C340" s="50"/>
      <c r="D340" s="118"/>
      <c r="E340" s="158"/>
      <c r="F340" s="187"/>
      <c r="G340" s="373"/>
      <c r="H340" s="22"/>
    </row>
    <row r="341" spans="1:8" ht="15" hidden="1">
      <c r="A341" s="147"/>
      <c r="B341" s="574" t="s">
        <v>227</v>
      </c>
      <c r="C341" s="575"/>
      <c r="D341" s="575"/>
      <c r="E341" s="576"/>
      <c r="F341" s="122">
        <f>SUM(F339:F340)</f>
        <v>0</v>
      </c>
      <c r="G341" s="374"/>
      <c r="H341" s="163"/>
    </row>
    <row r="342" spans="1:8" ht="15" hidden="1">
      <c r="A342" s="147"/>
      <c r="B342" s="176"/>
      <c r="C342" s="176"/>
      <c r="D342" s="176"/>
      <c r="E342" s="176"/>
      <c r="F342" s="178"/>
      <c r="G342" s="374"/>
      <c r="H342" s="163"/>
    </row>
    <row r="343" spans="1:8" ht="15">
      <c r="A343" s="147"/>
      <c r="B343" s="582" t="s">
        <v>269</v>
      </c>
      <c r="C343" s="582"/>
      <c r="D343" s="582"/>
      <c r="E343" s="582"/>
      <c r="F343" s="582"/>
      <c r="G343" s="582"/>
      <c r="H343" s="163"/>
    </row>
    <row r="344" spans="1:8" ht="30.75">
      <c r="A344" s="147"/>
      <c r="B344" s="50" t="s">
        <v>33</v>
      </c>
      <c r="C344" s="530" t="s">
        <v>40</v>
      </c>
      <c r="D344" s="530"/>
      <c r="E344" s="50" t="s">
        <v>50</v>
      </c>
      <c r="F344" s="27" t="s">
        <v>51</v>
      </c>
      <c r="G344" s="256" t="s">
        <v>47</v>
      </c>
      <c r="H344" s="163"/>
    </row>
    <row r="345" spans="1:8" ht="38.25" customHeight="1">
      <c r="A345" s="147"/>
      <c r="B345" s="118">
        <v>1</v>
      </c>
      <c r="C345" s="567" t="s">
        <v>336</v>
      </c>
      <c r="D345" s="567"/>
      <c r="E345" s="118">
        <v>1</v>
      </c>
      <c r="F345" s="158">
        <v>12</v>
      </c>
      <c r="G345" s="269">
        <v>71000</v>
      </c>
      <c r="H345" s="174"/>
    </row>
    <row r="346" spans="1:8" ht="18.75" customHeight="1">
      <c r="A346" s="147"/>
      <c r="B346" s="118">
        <v>2</v>
      </c>
      <c r="C346" s="567" t="s">
        <v>338</v>
      </c>
      <c r="D346" s="567"/>
      <c r="E346" s="118">
        <v>1</v>
      </c>
      <c r="F346" s="158">
        <v>12</v>
      </c>
      <c r="G346" s="269">
        <v>100000</v>
      </c>
      <c r="H346" s="174"/>
    </row>
    <row r="347" spans="1:8" ht="30" customHeight="1">
      <c r="A347" s="147"/>
      <c r="B347" s="118">
        <v>3</v>
      </c>
      <c r="C347" s="567" t="s">
        <v>339</v>
      </c>
      <c r="D347" s="567"/>
      <c r="E347" s="118">
        <v>1</v>
      </c>
      <c r="F347" s="158">
        <v>12</v>
      </c>
      <c r="G347" s="269">
        <v>50000</v>
      </c>
      <c r="H347" s="174"/>
    </row>
    <row r="348" spans="1:8" ht="31.5" customHeight="1">
      <c r="A348" s="147"/>
      <c r="B348" s="118">
        <v>4</v>
      </c>
      <c r="C348" s="567" t="s">
        <v>340</v>
      </c>
      <c r="D348" s="567"/>
      <c r="E348" s="118">
        <v>1</v>
      </c>
      <c r="F348" s="158">
        <v>12</v>
      </c>
      <c r="G348" s="269">
        <v>50000</v>
      </c>
      <c r="H348" s="174"/>
    </row>
    <row r="349" spans="1:8" ht="36.75" customHeight="1">
      <c r="A349" s="147"/>
      <c r="B349" s="118">
        <v>5</v>
      </c>
      <c r="C349" s="567" t="s">
        <v>341</v>
      </c>
      <c r="D349" s="567"/>
      <c r="E349" s="118">
        <v>1</v>
      </c>
      <c r="F349" s="158">
        <v>12</v>
      </c>
      <c r="G349" s="269">
        <v>40000</v>
      </c>
      <c r="H349" s="174"/>
    </row>
    <row r="350" spans="1:8" ht="19.5" customHeight="1">
      <c r="A350" s="147"/>
      <c r="B350" s="118">
        <v>6</v>
      </c>
      <c r="C350" s="567" t="s">
        <v>343</v>
      </c>
      <c r="D350" s="567"/>
      <c r="E350" s="118">
        <v>1</v>
      </c>
      <c r="F350" s="158">
        <v>12</v>
      </c>
      <c r="G350" s="269">
        <v>60000</v>
      </c>
      <c r="H350" s="174"/>
    </row>
    <row r="351" spans="1:8" ht="36" customHeight="1">
      <c r="A351" s="147"/>
      <c r="B351" s="118">
        <v>7</v>
      </c>
      <c r="C351" s="567" t="s">
        <v>549</v>
      </c>
      <c r="D351" s="567"/>
      <c r="E351" s="118">
        <v>1</v>
      </c>
      <c r="F351" s="158">
        <v>12</v>
      </c>
      <c r="G351" s="269">
        <v>70000</v>
      </c>
      <c r="H351" s="174"/>
    </row>
    <row r="352" spans="1:8" ht="15">
      <c r="A352" s="147"/>
      <c r="B352" s="118">
        <v>8</v>
      </c>
      <c r="C352" s="567" t="s">
        <v>419</v>
      </c>
      <c r="D352" s="567"/>
      <c r="E352" s="118">
        <v>1</v>
      </c>
      <c r="F352" s="158">
        <v>2</v>
      </c>
      <c r="G352" s="269">
        <v>50000</v>
      </c>
      <c r="H352" s="174"/>
    </row>
    <row r="353" spans="1:8" ht="27.75" customHeight="1">
      <c r="A353" s="147"/>
      <c r="B353" s="118">
        <v>9</v>
      </c>
      <c r="C353" s="567" t="s">
        <v>550</v>
      </c>
      <c r="D353" s="567"/>
      <c r="E353" s="118">
        <v>1</v>
      </c>
      <c r="F353" s="158">
        <v>1</v>
      </c>
      <c r="G353" s="269">
        <v>30000</v>
      </c>
      <c r="H353" s="174"/>
    </row>
    <row r="354" spans="1:8" ht="15">
      <c r="A354" s="147"/>
      <c r="B354" s="118">
        <v>10</v>
      </c>
      <c r="C354" s="567" t="s">
        <v>312</v>
      </c>
      <c r="D354" s="567"/>
      <c r="E354" s="118">
        <v>1</v>
      </c>
      <c r="F354" s="158">
        <v>12</v>
      </c>
      <c r="G354" s="269">
        <v>30000</v>
      </c>
      <c r="H354" s="174"/>
    </row>
    <row r="355" spans="1:8" ht="15">
      <c r="A355" s="172"/>
      <c r="B355" s="565" t="s">
        <v>69</v>
      </c>
      <c r="C355" s="565"/>
      <c r="D355" s="565"/>
      <c r="E355" s="565"/>
      <c r="F355" s="565"/>
      <c r="G355" s="362">
        <f>SUM(G345:G354)</f>
        <v>551000</v>
      </c>
      <c r="H355" s="175"/>
    </row>
    <row r="356" spans="1:8" ht="15">
      <c r="A356" s="147"/>
      <c r="B356" s="559" t="s">
        <v>270</v>
      </c>
      <c r="C356" s="559"/>
      <c r="D356" s="559"/>
      <c r="E356" s="559"/>
      <c r="F356" s="559"/>
      <c r="G356" s="559"/>
      <c r="H356" s="163"/>
    </row>
    <row r="357" spans="1:8" ht="30.75">
      <c r="A357" s="147"/>
      <c r="B357" s="50" t="s">
        <v>33</v>
      </c>
      <c r="C357" s="533" t="s">
        <v>40</v>
      </c>
      <c r="D357" s="534"/>
      <c r="E357" s="535"/>
      <c r="F357" s="50" t="s">
        <v>52</v>
      </c>
      <c r="G357" s="256" t="s">
        <v>53</v>
      </c>
      <c r="H357" s="163"/>
    </row>
    <row r="358" spans="1:8" ht="15" hidden="1">
      <c r="A358" s="147"/>
      <c r="B358" s="118">
        <v>1</v>
      </c>
      <c r="C358" s="571" t="s">
        <v>344</v>
      </c>
      <c r="D358" s="572"/>
      <c r="E358" s="573"/>
      <c r="F358" s="173" t="s">
        <v>313</v>
      </c>
      <c r="G358" s="377">
        <v>0</v>
      </c>
      <c r="H358" s="174"/>
    </row>
    <row r="359" spans="1:8" ht="15">
      <c r="A359" s="147"/>
      <c r="B359" s="118">
        <v>1</v>
      </c>
      <c r="C359" s="571" t="s">
        <v>345</v>
      </c>
      <c r="D359" s="572"/>
      <c r="E359" s="573"/>
      <c r="F359" s="173" t="s">
        <v>313</v>
      </c>
      <c r="G359" s="377">
        <v>170000</v>
      </c>
      <c r="H359" s="174"/>
    </row>
    <row r="360" spans="1:8" ht="15">
      <c r="A360" s="147"/>
      <c r="B360" s="118">
        <v>2</v>
      </c>
      <c r="C360" s="571" t="s">
        <v>346</v>
      </c>
      <c r="D360" s="572"/>
      <c r="E360" s="573"/>
      <c r="F360" s="173" t="s">
        <v>313</v>
      </c>
      <c r="G360" s="377">
        <v>25000</v>
      </c>
      <c r="H360" s="174"/>
    </row>
    <row r="361" spans="1:8" ht="12.75" customHeight="1">
      <c r="A361" s="147"/>
      <c r="B361" s="118">
        <v>3</v>
      </c>
      <c r="C361" s="571" t="s">
        <v>350</v>
      </c>
      <c r="D361" s="572"/>
      <c r="E361" s="573"/>
      <c r="F361" s="173" t="s">
        <v>313</v>
      </c>
      <c r="G361" s="377">
        <v>90000</v>
      </c>
      <c r="H361" s="174"/>
    </row>
    <row r="362" spans="1:8" ht="15" hidden="1">
      <c r="A362" s="147"/>
      <c r="B362" s="118">
        <v>5</v>
      </c>
      <c r="C362" s="571" t="s">
        <v>351</v>
      </c>
      <c r="D362" s="572"/>
      <c r="E362" s="573"/>
      <c r="F362" s="173" t="s">
        <v>313</v>
      </c>
      <c r="G362" s="377">
        <v>0</v>
      </c>
      <c r="H362" s="174"/>
    </row>
    <row r="363" spans="1:8" ht="14.25" customHeight="1">
      <c r="A363" s="147"/>
      <c r="B363" s="118">
        <v>4</v>
      </c>
      <c r="C363" s="571" t="s">
        <v>352</v>
      </c>
      <c r="D363" s="572"/>
      <c r="E363" s="573"/>
      <c r="F363" s="173" t="s">
        <v>313</v>
      </c>
      <c r="G363" s="377">
        <v>20000</v>
      </c>
      <c r="H363" s="174"/>
    </row>
    <row r="364" spans="1:8" ht="15" hidden="1">
      <c r="A364" s="147"/>
      <c r="B364" s="118">
        <v>7</v>
      </c>
      <c r="C364" s="571" t="s">
        <v>418</v>
      </c>
      <c r="D364" s="572"/>
      <c r="E364" s="573"/>
      <c r="F364" s="173" t="s">
        <v>313</v>
      </c>
      <c r="G364" s="377">
        <v>0</v>
      </c>
      <c r="H364" s="174"/>
    </row>
    <row r="365" spans="1:8" ht="15">
      <c r="A365" s="147"/>
      <c r="B365" s="118">
        <v>5</v>
      </c>
      <c r="C365" s="571" t="s">
        <v>451</v>
      </c>
      <c r="D365" s="572"/>
      <c r="E365" s="573"/>
      <c r="F365" s="173" t="s">
        <v>313</v>
      </c>
      <c r="G365" s="377">
        <f>2050000</f>
        <v>2050000</v>
      </c>
      <c r="H365" s="174"/>
    </row>
    <row r="366" spans="1:8" ht="15">
      <c r="A366" s="147"/>
      <c r="B366" s="574" t="s">
        <v>71</v>
      </c>
      <c r="C366" s="575"/>
      <c r="D366" s="575"/>
      <c r="E366" s="575"/>
      <c r="F366" s="576"/>
      <c r="G366" s="378">
        <f>SUM(G358:G365)</f>
        <v>2355000</v>
      </c>
      <c r="H366" s="163"/>
    </row>
    <row r="367" spans="1:8" ht="15" hidden="1">
      <c r="A367" s="147"/>
      <c r="B367" s="561" t="s">
        <v>271</v>
      </c>
      <c r="C367" s="561"/>
      <c r="D367" s="561"/>
      <c r="E367" s="561"/>
      <c r="F367" s="561"/>
      <c r="G367" s="561"/>
      <c r="H367" s="163"/>
    </row>
    <row r="368" spans="1:8" ht="15" hidden="1">
      <c r="A368" s="147"/>
      <c r="B368" s="206"/>
      <c r="C368" s="206"/>
      <c r="D368" s="206"/>
      <c r="E368" s="206"/>
      <c r="F368" s="206"/>
      <c r="G368" s="380"/>
      <c r="H368" s="163"/>
    </row>
    <row r="369" spans="1:8" ht="30.75" hidden="1">
      <c r="A369" s="147"/>
      <c r="B369" s="50" t="s">
        <v>33</v>
      </c>
      <c r="C369" s="530" t="s">
        <v>40</v>
      </c>
      <c r="D369" s="530"/>
      <c r="E369" s="50" t="s">
        <v>54</v>
      </c>
      <c r="F369" s="50" t="s">
        <v>55</v>
      </c>
      <c r="G369" s="256" t="s">
        <v>47</v>
      </c>
      <c r="H369" s="163"/>
    </row>
    <row r="370" spans="1:8" ht="15" hidden="1">
      <c r="A370" s="147"/>
      <c r="B370" s="26">
        <v>1</v>
      </c>
      <c r="C370" s="615">
        <v>2</v>
      </c>
      <c r="D370" s="616"/>
      <c r="E370" s="26">
        <v>3</v>
      </c>
      <c r="F370" s="26">
        <v>4</v>
      </c>
      <c r="G370" s="256">
        <v>5</v>
      </c>
      <c r="H370" s="163"/>
    </row>
    <row r="371" spans="1:8" ht="15" hidden="1">
      <c r="A371" s="147"/>
      <c r="B371" s="26"/>
      <c r="C371" s="563"/>
      <c r="D371" s="564"/>
      <c r="E371" s="26"/>
      <c r="F371" s="26"/>
      <c r="G371" s="256"/>
      <c r="H371" s="163"/>
    </row>
    <row r="372" spans="1:8" ht="15" hidden="1">
      <c r="A372" s="147"/>
      <c r="B372" s="26"/>
      <c r="C372" s="569"/>
      <c r="D372" s="569"/>
      <c r="E372" s="173"/>
      <c r="F372" s="184"/>
      <c r="G372" s="381"/>
      <c r="H372" s="174"/>
    </row>
    <row r="373" spans="1:8" ht="15" hidden="1">
      <c r="A373" s="147"/>
      <c r="B373" s="574" t="s">
        <v>60</v>
      </c>
      <c r="C373" s="575"/>
      <c r="D373" s="575"/>
      <c r="E373" s="575"/>
      <c r="F373" s="576"/>
      <c r="G373" s="365">
        <f>SUM(G371)</f>
        <v>0</v>
      </c>
      <c r="H373" s="174"/>
    </row>
    <row r="374" spans="1:8" ht="15" hidden="1">
      <c r="A374" s="147"/>
      <c r="B374" s="181"/>
      <c r="C374" s="182"/>
      <c r="D374" s="182"/>
      <c r="E374" s="182"/>
      <c r="F374" s="181"/>
      <c r="G374" s="379"/>
      <c r="H374" s="174"/>
    </row>
    <row r="375" spans="1:8" ht="15" hidden="1">
      <c r="A375" s="147"/>
      <c r="B375" s="562" t="s">
        <v>272</v>
      </c>
      <c r="C375" s="562"/>
      <c r="D375" s="562"/>
      <c r="E375" s="562"/>
      <c r="F375" s="562"/>
      <c r="G375" s="562"/>
      <c r="H375" s="174"/>
    </row>
    <row r="376" spans="1:8" ht="15" hidden="1">
      <c r="A376" s="147"/>
      <c r="B376" s="181"/>
      <c r="C376" s="182"/>
      <c r="D376" s="182"/>
      <c r="E376" s="182"/>
      <c r="F376" s="181"/>
      <c r="G376" s="379"/>
      <c r="H376" s="174"/>
    </row>
    <row r="377" spans="1:8" ht="30.75" hidden="1">
      <c r="A377" s="147"/>
      <c r="B377" s="50" t="s">
        <v>33</v>
      </c>
      <c r="C377" s="533" t="s">
        <v>40</v>
      </c>
      <c r="D377" s="534"/>
      <c r="E377" s="535"/>
      <c r="F377" s="50" t="s">
        <v>52</v>
      </c>
      <c r="G377" s="256" t="s">
        <v>53</v>
      </c>
      <c r="H377" s="174"/>
    </row>
    <row r="378" spans="1:8" ht="15" hidden="1">
      <c r="A378" s="147"/>
      <c r="B378" s="118"/>
      <c r="C378" s="571"/>
      <c r="D378" s="617"/>
      <c r="E378" s="618"/>
      <c r="F378" s="173"/>
      <c r="G378" s="381"/>
      <c r="H378" s="174"/>
    </row>
    <row r="379" spans="1:8" ht="15" hidden="1">
      <c r="A379" s="147"/>
      <c r="B379" s="118"/>
      <c r="C379" s="571"/>
      <c r="D379" s="617"/>
      <c r="E379" s="618"/>
      <c r="F379" s="173"/>
      <c r="G379" s="381"/>
      <c r="H379" s="174"/>
    </row>
    <row r="380" spans="1:8" ht="15" hidden="1">
      <c r="A380" s="147"/>
      <c r="B380" s="574" t="s">
        <v>74</v>
      </c>
      <c r="C380" s="575"/>
      <c r="D380" s="575"/>
      <c r="E380" s="575"/>
      <c r="F380" s="576"/>
      <c r="G380" s="365">
        <f>SUM(G378:G379)</f>
        <v>0</v>
      </c>
      <c r="H380" s="174"/>
    </row>
    <row r="381" spans="1:8" ht="15" hidden="1">
      <c r="A381" s="147"/>
      <c r="B381" s="181"/>
      <c r="C381" s="182"/>
      <c r="D381" s="182"/>
      <c r="E381" s="182"/>
      <c r="F381" s="181"/>
      <c r="G381" s="379"/>
      <c r="H381" s="174"/>
    </row>
    <row r="382" spans="1:8" ht="15" hidden="1">
      <c r="A382" s="147"/>
      <c r="B382" s="559" t="s">
        <v>273</v>
      </c>
      <c r="C382" s="559"/>
      <c r="D382" s="559"/>
      <c r="E382" s="559"/>
      <c r="F382" s="559"/>
      <c r="G382" s="559"/>
      <c r="H382" s="163"/>
    </row>
    <row r="383" spans="1:8" ht="15" hidden="1">
      <c r="A383" s="147"/>
      <c r="B383" s="163"/>
      <c r="C383" s="163"/>
      <c r="D383" s="164"/>
      <c r="E383" s="163"/>
      <c r="F383" s="163"/>
      <c r="G383" s="368"/>
      <c r="H383" s="163"/>
    </row>
    <row r="384" spans="1:8" ht="30.75" hidden="1">
      <c r="A384" s="147"/>
      <c r="B384" s="50" t="s">
        <v>33</v>
      </c>
      <c r="C384" s="533" t="s">
        <v>40</v>
      </c>
      <c r="D384" s="535"/>
      <c r="E384" s="50" t="s">
        <v>54</v>
      </c>
      <c r="F384" s="50" t="s">
        <v>55</v>
      </c>
      <c r="G384" s="256" t="s">
        <v>47</v>
      </c>
      <c r="H384" s="163"/>
    </row>
    <row r="385" spans="1:8" ht="15" hidden="1">
      <c r="A385" s="147"/>
      <c r="B385" s="27">
        <v>1</v>
      </c>
      <c r="C385" s="619">
        <v>2</v>
      </c>
      <c r="D385" s="620"/>
      <c r="E385" s="173">
        <v>3</v>
      </c>
      <c r="F385" s="193">
        <v>4</v>
      </c>
      <c r="G385" s="382">
        <v>5</v>
      </c>
      <c r="H385" s="163"/>
    </row>
    <row r="386" spans="1:8" ht="15" hidden="1">
      <c r="A386" s="147"/>
      <c r="B386" s="27"/>
      <c r="C386" s="571"/>
      <c r="D386" s="573"/>
      <c r="E386" s="173"/>
      <c r="F386" s="193"/>
      <c r="G386" s="382"/>
      <c r="H386" s="163"/>
    </row>
    <row r="387" spans="1:8" ht="15" hidden="1">
      <c r="A387" s="147"/>
      <c r="B387" s="50"/>
      <c r="C387" s="569"/>
      <c r="D387" s="570"/>
      <c r="E387" s="173"/>
      <c r="F387" s="179"/>
      <c r="G387" s="269"/>
      <c r="H387" s="163"/>
    </row>
    <row r="388" spans="1:8" ht="15" hidden="1">
      <c r="A388" s="147"/>
      <c r="B388" s="574" t="s">
        <v>57</v>
      </c>
      <c r="C388" s="575"/>
      <c r="D388" s="575"/>
      <c r="E388" s="575"/>
      <c r="F388" s="576"/>
      <c r="G388" s="383">
        <f>G386+G387</f>
        <v>0</v>
      </c>
      <c r="H388" s="163"/>
    </row>
    <row r="389" spans="1:8" ht="15" hidden="1">
      <c r="A389" s="188"/>
      <c r="B389" s="176"/>
      <c r="C389" s="176"/>
      <c r="D389" s="176"/>
      <c r="E389" s="176"/>
      <c r="F389" s="189"/>
      <c r="G389" s="384"/>
      <c r="H389" s="191"/>
    </row>
    <row r="390" spans="1:8" ht="15" hidden="1">
      <c r="A390" s="147"/>
      <c r="B390" s="582" t="s">
        <v>274</v>
      </c>
      <c r="C390" s="582"/>
      <c r="D390" s="582"/>
      <c r="E390" s="582"/>
      <c r="F390" s="582"/>
      <c r="G390" s="582"/>
      <c r="H390" s="163"/>
    </row>
    <row r="391" spans="1:8" ht="15" hidden="1">
      <c r="A391" s="147"/>
      <c r="B391" s="163"/>
      <c r="C391" s="163"/>
      <c r="D391" s="164"/>
      <c r="E391" s="163"/>
      <c r="F391" s="163"/>
      <c r="G391" s="368"/>
      <c r="H391" s="163"/>
    </row>
    <row r="392" spans="1:8" ht="30.75" hidden="1">
      <c r="A392" s="147"/>
      <c r="B392" s="50" t="s">
        <v>33</v>
      </c>
      <c r="C392" s="533" t="s">
        <v>40</v>
      </c>
      <c r="D392" s="535"/>
      <c r="E392" s="50" t="s">
        <v>54</v>
      </c>
      <c r="F392" s="50" t="s">
        <v>55</v>
      </c>
      <c r="G392" s="256" t="s">
        <v>47</v>
      </c>
      <c r="H392" s="163"/>
    </row>
    <row r="393" spans="1:8" ht="15" hidden="1">
      <c r="A393" s="147"/>
      <c r="B393" s="194">
        <v>1</v>
      </c>
      <c r="C393" s="580">
        <v>2</v>
      </c>
      <c r="D393" s="581"/>
      <c r="E393" s="193">
        <v>3</v>
      </c>
      <c r="F393" s="193">
        <v>4</v>
      </c>
      <c r="G393" s="382">
        <v>5</v>
      </c>
      <c r="H393" s="163"/>
    </row>
    <row r="394" spans="1:8" ht="15" hidden="1">
      <c r="A394" s="147"/>
      <c r="B394" s="50"/>
      <c r="C394" s="569"/>
      <c r="D394" s="570"/>
      <c r="E394" s="173"/>
      <c r="F394" s="179"/>
      <c r="G394" s="269"/>
      <c r="H394" s="163"/>
    </row>
    <row r="395" spans="1:8" ht="15" hidden="1">
      <c r="A395" s="147"/>
      <c r="B395" s="574" t="s">
        <v>228</v>
      </c>
      <c r="C395" s="575"/>
      <c r="D395" s="575"/>
      <c r="E395" s="575"/>
      <c r="F395" s="576"/>
      <c r="G395" s="383">
        <f>SUM(G394:G394)</f>
        <v>0</v>
      </c>
      <c r="H395" s="163"/>
    </row>
    <row r="396" ht="15" hidden="1"/>
    <row r="397" spans="1:8" ht="15">
      <c r="A397" s="147"/>
      <c r="B397" s="559" t="s">
        <v>275</v>
      </c>
      <c r="C397" s="559"/>
      <c r="D397" s="559"/>
      <c r="E397" s="559"/>
      <c r="F397" s="559"/>
      <c r="G397" s="559"/>
      <c r="H397" s="163"/>
    </row>
    <row r="398" spans="1:8" ht="30.75">
      <c r="A398" s="147"/>
      <c r="B398" s="50" t="s">
        <v>33</v>
      </c>
      <c r="C398" s="533" t="s">
        <v>40</v>
      </c>
      <c r="D398" s="535"/>
      <c r="E398" s="50" t="s">
        <v>54</v>
      </c>
      <c r="F398" s="50" t="s">
        <v>55</v>
      </c>
      <c r="G398" s="256" t="s">
        <v>47</v>
      </c>
      <c r="H398" s="163"/>
    </row>
    <row r="399" spans="1:8" ht="15">
      <c r="A399" s="147"/>
      <c r="B399" s="27">
        <v>1</v>
      </c>
      <c r="C399" s="571" t="s">
        <v>359</v>
      </c>
      <c r="D399" s="573"/>
      <c r="E399" s="173">
        <v>27</v>
      </c>
      <c r="F399" s="179">
        <f>G399/E399</f>
        <v>489.3333333333333</v>
      </c>
      <c r="G399" s="269">
        <f>15000-1788</f>
        <v>13212</v>
      </c>
      <c r="H399" s="163"/>
    </row>
    <row r="400" spans="1:8" ht="15" hidden="1">
      <c r="A400" s="147"/>
      <c r="B400" s="50"/>
      <c r="C400" s="569"/>
      <c r="D400" s="570"/>
      <c r="E400" s="173"/>
      <c r="F400" s="179"/>
      <c r="G400" s="269"/>
      <c r="H400" s="163"/>
    </row>
    <row r="401" spans="1:8" ht="12" customHeight="1">
      <c r="A401" s="147"/>
      <c r="B401" s="574" t="s">
        <v>229</v>
      </c>
      <c r="C401" s="575"/>
      <c r="D401" s="575"/>
      <c r="E401" s="575"/>
      <c r="F401" s="576"/>
      <c r="G401" s="383">
        <f>G399</f>
        <v>13212</v>
      </c>
      <c r="H401" s="163"/>
    </row>
    <row r="402" spans="1:8" ht="0.75" customHeight="1" hidden="1">
      <c r="A402" s="147"/>
      <c r="B402" s="559" t="s">
        <v>276</v>
      </c>
      <c r="C402" s="559"/>
      <c r="D402" s="559"/>
      <c r="E402" s="559"/>
      <c r="F402" s="559"/>
      <c r="G402" s="559"/>
      <c r="H402" s="163"/>
    </row>
    <row r="403" spans="1:8" ht="30.75" hidden="1">
      <c r="A403" s="147"/>
      <c r="B403" s="50" t="s">
        <v>33</v>
      </c>
      <c r="C403" s="533" t="s">
        <v>40</v>
      </c>
      <c r="D403" s="535"/>
      <c r="E403" s="50" t="s">
        <v>54</v>
      </c>
      <c r="F403" s="50" t="s">
        <v>55</v>
      </c>
      <c r="G403" s="256" t="s">
        <v>448</v>
      </c>
      <c r="H403" s="163"/>
    </row>
    <row r="404" spans="1:8" ht="15" hidden="1">
      <c r="A404" s="147"/>
      <c r="B404" s="27">
        <v>1</v>
      </c>
      <c r="C404" s="571" t="s">
        <v>544</v>
      </c>
      <c r="D404" s="573"/>
      <c r="E404" s="218">
        <f>G404/F404</f>
        <v>0</v>
      </c>
      <c r="F404" s="179">
        <v>50</v>
      </c>
      <c r="G404" s="269">
        <v>0</v>
      </c>
      <c r="H404" s="163"/>
    </row>
    <row r="405" spans="1:8" ht="15" hidden="1">
      <c r="A405" s="147"/>
      <c r="B405" s="50"/>
      <c r="C405" s="569"/>
      <c r="D405" s="570"/>
      <c r="E405" s="173"/>
      <c r="F405" s="179"/>
      <c r="G405" s="269"/>
      <c r="H405" s="163"/>
    </row>
    <row r="406" spans="1:8" ht="15" hidden="1">
      <c r="A406" s="147"/>
      <c r="B406" s="574" t="s">
        <v>230</v>
      </c>
      <c r="C406" s="575"/>
      <c r="D406" s="575"/>
      <c r="E406" s="575"/>
      <c r="F406" s="576"/>
      <c r="G406" s="383">
        <f>G404+G405</f>
        <v>0</v>
      </c>
      <c r="H406" s="163"/>
    </row>
    <row r="407" spans="1:8" ht="15" hidden="1">
      <c r="A407" s="147"/>
      <c r="B407" s="559" t="s">
        <v>277</v>
      </c>
      <c r="C407" s="559"/>
      <c r="D407" s="559"/>
      <c r="E407" s="559"/>
      <c r="F407" s="559"/>
      <c r="G407" s="559"/>
      <c r="H407" s="163"/>
    </row>
    <row r="408" spans="1:8" ht="30.75" hidden="1">
      <c r="A408" s="147"/>
      <c r="B408" s="50" t="s">
        <v>33</v>
      </c>
      <c r="C408" s="533" t="s">
        <v>40</v>
      </c>
      <c r="D408" s="535"/>
      <c r="E408" s="50" t="s">
        <v>54</v>
      </c>
      <c r="F408" s="50" t="s">
        <v>55</v>
      </c>
      <c r="G408" s="256" t="s">
        <v>448</v>
      </c>
      <c r="H408" s="163"/>
    </row>
    <row r="409" spans="1:8" ht="15" hidden="1">
      <c r="A409" s="147"/>
      <c r="B409" s="194" t="s">
        <v>316</v>
      </c>
      <c r="C409" s="557" t="s">
        <v>417</v>
      </c>
      <c r="D409" s="558"/>
      <c r="E409" s="218">
        <f>G409/F409</f>
        <v>0</v>
      </c>
      <c r="F409" s="193" t="s">
        <v>356</v>
      </c>
      <c r="G409" s="255">
        <v>0</v>
      </c>
      <c r="H409" s="163"/>
    </row>
    <row r="410" spans="1:8" ht="15" hidden="1">
      <c r="A410" s="147"/>
      <c r="B410" s="50"/>
      <c r="C410" s="569"/>
      <c r="D410" s="570"/>
      <c r="E410" s="173"/>
      <c r="F410" s="179"/>
      <c r="G410" s="269"/>
      <c r="H410" s="163"/>
    </row>
    <row r="411" spans="1:8" ht="15" hidden="1">
      <c r="A411" s="147"/>
      <c r="B411" s="574" t="s">
        <v>231</v>
      </c>
      <c r="C411" s="575"/>
      <c r="D411" s="575"/>
      <c r="E411" s="575"/>
      <c r="F411" s="576"/>
      <c r="G411" s="383">
        <f>G409</f>
        <v>0</v>
      </c>
      <c r="H411" s="163"/>
    </row>
    <row r="412" spans="1:8" ht="15" hidden="1">
      <c r="A412" s="147"/>
      <c r="B412" s="559" t="s">
        <v>278</v>
      </c>
      <c r="C412" s="559"/>
      <c r="D412" s="559"/>
      <c r="E412" s="559"/>
      <c r="F412" s="559"/>
      <c r="G412" s="559"/>
      <c r="H412" s="163"/>
    </row>
    <row r="413" spans="1:8" ht="15" hidden="1">
      <c r="A413" s="147"/>
      <c r="B413" s="163"/>
      <c r="C413" s="163"/>
      <c r="D413" s="164"/>
      <c r="E413" s="163"/>
      <c r="F413" s="163"/>
      <c r="G413" s="368"/>
      <c r="H413" s="163"/>
    </row>
    <row r="414" spans="1:8" ht="30.75" hidden="1">
      <c r="A414" s="147"/>
      <c r="B414" s="50" t="s">
        <v>33</v>
      </c>
      <c r="C414" s="533" t="s">
        <v>40</v>
      </c>
      <c r="D414" s="535"/>
      <c r="E414" s="50" t="s">
        <v>54</v>
      </c>
      <c r="F414" s="50" t="s">
        <v>55</v>
      </c>
      <c r="G414" s="256" t="s">
        <v>47</v>
      </c>
      <c r="H414" s="163"/>
    </row>
    <row r="415" spans="1:8" ht="15" hidden="1">
      <c r="A415" s="147"/>
      <c r="B415" s="194">
        <v>1</v>
      </c>
      <c r="C415" s="580">
        <v>2</v>
      </c>
      <c r="D415" s="581"/>
      <c r="E415" s="193">
        <v>3</v>
      </c>
      <c r="F415" s="193">
        <v>4</v>
      </c>
      <c r="G415" s="382">
        <v>5</v>
      </c>
      <c r="H415" s="163"/>
    </row>
    <row r="416" spans="1:8" ht="15" hidden="1">
      <c r="A416" s="147"/>
      <c r="B416" s="194"/>
      <c r="C416" s="580"/>
      <c r="D416" s="583"/>
      <c r="E416" s="193"/>
      <c r="F416" s="193"/>
      <c r="G416" s="382"/>
      <c r="H416" s="163"/>
    </row>
    <row r="417" spans="1:8" ht="15" hidden="1">
      <c r="A417" s="147"/>
      <c r="B417" s="50"/>
      <c r="C417" s="569"/>
      <c r="D417" s="570"/>
      <c r="E417" s="173"/>
      <c r="F417" s="179"/>
      <c r="G417" s="269"/>
      <c r="H417" s="163"/>
    </row>
    <row r="418" spans="1:8" ht="15" hidden="1">
      <c r="A418" s="147"/>
      <c r="B418" s="574" t="s">
        <v>59</v>
      </c>
      <c r="C418" s="575"/>
      <c r="D418" s="575"/>
      <c r="E418" s="575"/>
      <c r="F418" s="576"/>
      <c r="G418" s="383">
        <v>0</v>
      </c>
      <c r="H418" s="163"/>
    </row>
    <row r="419" ht="15" hidden="1"/>
    <row r="420" spans="1:8" ht="15" hidden="1">
      <c r="A420" s="147"/>
      <c r="B420" s="559" t="s">
        <v>279</v>
      </c>
      <c r="C420" s="559"/>
      <c r="D420" s="559"/>
      <c r="E420" s="559"/>
      <c r="F420" s="559"/>
      <c r="G420" s="559"/>
      <c r="H420" s="163"/>
    </row>
    <row r="421" spans="1:8" ht="30.75" hidden="1">
      <c r="A421" s="147"/>
      <c r="B421" s="50" t="s">
        <v>33</v>
      </c>
      <c r="C421" s="533" t="s">
        <v>40</v>
      </c>
      <c r="D421" s="535"/>
      <c r="E421" s="50" t="s">
        <v>54</v>
      </c>
      <c r="F421" s="50" t="s">
        <v>55</v>
      </c>
      <c r="G421" s="256" t="s">
        <v>448</v>
      </c>
      <c r="H421" s="163"/>
    </row>
    <row r="422" spans="1:8" ht="15" hidden="1">
      <c r="A422" s="147"/>
      <c r="B422" s="194" t="s">
        <v>316</v>
      </c>
      <c r="C422" s="557" t="s">
        <v>317</v>
      </c>
      <c r="D422" s="558"/>
      <c r="E422" s="193" t="s">
        <v>449</v>
      </c>
      <c r="F422" s="193" t="s">
        <v>318</v>
      </c>
      <c r="G422" s="385">
        <v>0</v>
      </c>
      <c r="H422" s="163"/>
    </row>
    <row r="423" spans="1:8" ht="15" hidden="1">
      <c r="A423" s="147"/>
      <c r="B423" s="50">
        <v>2</v>
      </c>
      <c r="C423" s="569" t="s">
        <v>319</v>
      </c>
      <c r="D423" s="570"/>
      <c r="E423" s="173">
        <v>100</v>
      </c>
      <c r="F423" s="184">
        <v>10</v>
      </c>
      <c r="G423" s="269">
        <v>0</v>
      </c>
      <c r="H423" s="163"/>
    </row>
    <row r="424" spans="1:8" ht="15" hidden="1">
      <c r="A424" s="147"/>
      <c r="B424" s="50">
        <v>3</v>
      </c>
      <c r="C424" s="569" t="s">
        <v>320</v>
      </c>
      <c r="D424" s="570"/>
      <c r="E424" s="173">
        <v>40</v>
      </c>
      <c r="F424" s="184">
        <v>25</v>
      </c>
      <c r="G424" s="269">
        <v>0</v>
      </c>
      <c r="H424" s="163"/>
    </row>
    <row r="425" spans="2:7" ht="15" hidden="1">
      <c r="B425" s="50">
        <v>4</v>
      </c>
      <c r="C425" s="569" t="s">
        <v>321</v>
      </c>
      <c r="D425" s="570"/>
      <c r="E425" s="173">
        <v>50</v>
      </c>
      <c r="F425" s="184">
        <v>20</v>
      </c>
      <c r="G425" s="269">
        <v>0</v>
      </c>
    </row>
    <row r="426" spans="2:7" ht="15" hidden="1">
      <c r="B426" s="50">
        <v>5</v>
      </c>
      <c r="C426" s="569" t="s">
        <v>357</v>
      </c>
      <c r="D426" s="570"/>
      <c r="E426" s="173">
        <v>50</v>
      </c>
      <c r="F426" s="184">
        <v>100</v>
      </c>
      <c r="G426" s="269">
        <v>0</v>
      </c>
    </row>
    <row r="427" spans="2:7" ht="15" hidden="1">
      <c r="B427" s="50">
        <v>6</v>
      </c>
      <c r="C427" s="569" t="s">
        <v>358</v>
      </c>
      <c r="D427" s="570"/>
      <c r="E427" s="173">
        <v>5</v>
      </c>
      <c r="F427" s="184">
        <v>250</v>
      </c>
      <c r="G427" s="269">
        <v>0</v>
      </c>
    </row>
    <row r="428" spans="2:7" ht="15" hidden="1">
      <c r="B428" s="50">
        <v>7</v>
      </c>
      <c r="C428" s="569" t="s">
        <v>416</v>
      </c>
      <c r="D428" s="570"/>
      <c r="E428" s="173">
        <v>250</v>
      </c>
      <c r="F428" s="184">
        <v>100</v>
      </c>
      <c r="G428" s="269">
        <v>0</v>
      </c>
    </row>
    <row r="429" spans="1:8" ht="15" hidden="1">
      <c r="A429" s="147"/>
      <c r="B429" s="574" t="s">
        <v>56</v>
      </c>
      <c r="C429" s="575"/>
      <c r="D429" s="575"/>
      <c r="E429" s="575"/>
      <c r="F429" s="576"/>
      <c r="G429" s="383">
        <f>SUM(G422:G428)</f>
        <v>0</v>
      </c>
      <c r="H429" s="163"/>
    </row>
    <row r="430" spans="2:7" ht="15" hidden="1">
      <c r="B430" s="582" t="s">
        <v>280</v>
      </c>
      <c r="C430" s="582"/>
      <c r="D430" s="582"/>
      <c r="E430" s="582"/>
      <c r="F430" s="582"/>
      <c r="G430" s="582"/>
    </row>
    <row r="431" spans="2:7" ht="15" hidden="1">
      <c r="B431" s="163"/>
      <c r="C431" s="163"/>
      <c r="D431" s="164"/>
      <c r="E431" s="163"/>
      <c r="F431" s="163"/>
      <c r="G431" s="368"/>
    </row>
    <row r="432" spans="2:7" ht="30.75" hidden="1">
      <c r="B432" s="50" t="s">
        <v>33</v>
      </c>
      <c r="C432" s="533" t="s">
        <v>40</v>
      </c>
      <c r="D432" s="535"/>
      <c r="E432" s="50" t="s">
        <v>50</v>
      </c>
      <c r="F432" s="50" t="s">
        <v>51</v>
      </c>
      <c r="G432" s="256" t="s">
        <v>47</v>
      </c>
    </row>
    <row r="433" spans="2:7" ht="15" hidden="1">
      <c r="B433" s="194">
        <v>1</v>
      </c>
      <c r="C433" s="580">
        <v>2</v>
      </c>
      <c r="D433" s="581"/>
      <c r="E433" s="193">
        <v>3</v>
      </c>
      <c r="F433" s="193">
        <v>4</v>
      </c>
      <c r="G433" s="382">
        <v>5</v>
      </c>
    </row>
    <row r="434" spans="2:7" ht="15" hidden="1">
      <c r="B434" s="194"/>
      <c r="C434" s="580"/>
      <c r="D434" s="583"/>
      <c r="E434" s="193"/>
      <c r="F434" s="193"/>
      <c r="G434" s="382"/>
    </row>
    <row r="435" spans="2:7" ht="15" hidden="1">
      <c r="B435" s="50"/>
      <c r="C435" s="569"/>
      <c r="D435" s="570"/>
      <c r="E435" s="173"/>
      <c r="F435" s="179"/>
      <c r="G435" s="269"/>
    </row>
    <row r="436" spans="2:7" ht="15" hidden="1">
      <c r="B436" s="574" t="s">
        <v>232</v>
      </c>
      <c r="C436" s="575"/>
      <c r="D436" s="575"/>
      <c r="E436" s="575"/>
      <c r="F436" s="576"/>
      <c r="G436" s="383">
        <v>0</v>
      </c>
    </row>
    <row r="437" ht="15" hidden="1"/>
    <row r="438" spans="1:8" s="8" customFormat="1" ht="15">
      <c r="A438" s="147"/>
      <c r="B438" s="559" t="s">
        <v>279</v>
      </c>
      <c r="C438" s="559"/>
      <c r="D438" s="559"/>
      <c r="E438" s="559"/>
      <c r="F438" s="559"/>
      <c r="G438" s="559"/>
      <c r="H438" s="163"/>
    </row>
    <row r="439" spans="1:8" s="8" customFormat="1" ht="15" hidden="1">
      <c r="A439" s="147"/>
      <c r="B439" s="163"/>
      <c r="C439" s="163"/>
      <c r="D439" s="164"/>
      <c r="E439" s="163"/>
      <c r="F439" s="163"/>
      <c r="G439" s="438"/>
      <c r="H439" s="163"/>
    </row>
    <row r="440" spans="1:8" s="8" customFormat="1" ht="25.5" customHeight="1">
      <c r="A440" s="147"/>
      <c r="B440" s="50" t="s">
        <v>33</v>
      </c>
      <c r="C440" s="533" t="s">
        <v>40</v>
      </c>
      <c r="D440" s="535"/>
      <c r="E440" s="50" t="s">
        <v>54</v>
      </c>
      <c r="F440" s="50" t="s">
        <v>55</v>
      </c>
      <c r="G440" s="431" t="s">
        <v>47</v>
      </c>
      <c r="H440" s="163"/>
    </row>
    <row r="441" spans="1:8" s="8" customFormat="1" ht="15" hidden="1">
      <c r="A441" s="147"/>
      <c r="B441" s="194" t="s">
        <v>316</v>
      </c>
      <c r="C441" s="557" t="s">
        <v>317</v>
      </c>
      <c r="D441" s="558"/>
      <c r="E441" s="193" t="s">
        <v>449</v>
      </c>
      <c r="F441" s="193" t="s">
        <v>318</v>
      </c>
      <c r="G441" s="441">
        <f>1000/2-500</f>
        <v>0</v>
      </c>
      <c r="H441" s="163"/>
    </row>
    <row r="442" spans="1:8" s="8" customFormat="1" ht="15" hidden="1">
      <c r="A442" s="147"/>
      <c r="B442" s="50">
        <v>2</v>
      </c>
      <c r="C442" s="569" t="s">
        <v>319</v>
      </c>
      <c r="D442" s="570"/>
      <c r="E442" s="173">
        <v>100</v>
      </c>
      <c r="F442" s="184">
        <v>10</v>
      </c>
      <c r="G442" s="433">
        <f>2000/2-1000</f>
        <v>0</v>
      </c>
      <c r="H442" s="163"/>
    </row>
    <row r="443" spans="1:8" s="8" customFormat="1" ht="15.75" customHeight="1" hidden="1">
      <c r="A443" s="147"/>
      <c r="B443" s="50">
        <v>3</v>
      </c>
      <c r="C443" s="569" t="s">
        <v>320</v>
      </c>
      <c r="D443" s="570"/>
      <c r="E443" s="173">
        <v>40</v>
      </c>
      <c r="F443" s="184">
        <v>25</v>
      </c>
      <c r="G443" s="433">
        <f>2000/2-1000</f>
        <v>0</v>
      </c>
      <c r="H443" s="163"/>
    </row>
    <row r="444" spans="2:7" ht="15" hidden="1">
      <c r="B444" s="50">
        <v>4</v>
      </c>
      <c r="C444" s="569" t="s">
        <v>321</v>
      </c>
      <c r="D444" s="570"/>
      <c r="E444" s="173">
        <v>50</v>
      </c>
      <c r="F444" s="184">
        <v>20</v>
      </c>
      <c r="G444" s="433">
        <f>2000/2-1000</f>
        <v>0</v>
      </c>
    </row>
    <row r="445" spans="1:7" ht="30" customHeight="1" hidden="1">
      <c r="A445" s="6"/>
      <c r="B445" s="50">
        <v>5</v>
      </c>
      <c r="C445" s="569" t="s">
        <v>357</v>
      </c>
      <c r="D445" s="570"/>
      <c r="E445" s="173">
        <v>50</v>
      </c>
      <c r="F445" s="184">
        <v>100</v>
      </c>
      <c r="G445" s="433">
        <f>10000/2-5000</f>
        <v>0</v>
      </c>
    </row>
    <row r="446" spans="1:7" ht="18.75" customHeight="1" hidden="1">
      <c r="A446" s="6"/>
      <c r="B446" s="333">
        <v>1</v>
      </c>
      <c r="C446" s="578" t="s">
        <v>358</v>
      </c>
      <c r="D446" s="579"/>
      <c r="E446" s="334">
        <v>30</v>
      </c>
      <c r="F446" s="335">
        <f aca="true" t="shared" si="4" ref="F446:F451">G446/E446</f>
        <v>0</v>
      </c>
      <c r="G446" s="433">
        <f>3000-3000</f>
        <v>0</v>
      </c>
    </row>
    <row r="447" spans="1:7" ht="15.75" customHeight="1" hidden="1">
      <c r="A447" s="6"/>
      <c r="B447" s="333">
        <v>2</v>
      </c>
      <c r="C447" s="578" t="s">
        <v>624</v>
      </c>
      <c r="D447" s="579"/>
      <c r="E447" s="334">
        <v>50</v>
      </c>
      <c r="F447" s="335">
        <f t="shared" si="4"/>
        <v>0</v>
      </c>
      <c r="G447" s="433">
        <v>0</v>
      </c>
    </row>
    <row r="448" spans="1:7" ht="72.75" customHeight="1" hidden="1">
      <c r="A448" s="6"/>
      <c r="B448" s="333">
        <v>1</v>
      </c>
      <c r="C448" s="578" t="s">
        <v>637</v>
      </c>
      <c r="D448" s="579"/>
      <c r="E448" s="334">
        <v>30</v>
      </c>
      <c r="F448" s="335">
        <f t="shared" si="4"/>
        <v>0</v>
      </c>
      <c r="G448" s="433">
        <f>25000-2600-510-820-21070</f>
        <v>0</v>
      </c>
    </row>
    <row r="449" spans="1:7" ht="56.25" customHeight="1" hidden="1">
      <c r="A449" s="6"/>
      <c r="B449" s="333">
        <v>1</v>
      </c>
      <c r="C449" s="578" t="s">
        <v>801</v>
      </c>
      <c r="D449" s="579"/>
      <c r="E449" s="334">
        <v>19</v>
      </c>
      <c r="F449" s="335">
        <f t="shared" si="4"/>
        <v>0</v>
      </c>
      <c r="G449" s="433">
        <f>25000-10000-475-6485-8040</f>
        <v>0</v>
      </c>
    </row>
    <row r="450" spans="1:7" ht="30.75" customHeight="1" hidden="1">
      <c r="A450" s="6"/>
      <c r="B450" s="333">
        <v>3</v>
      </c>
      <c r="C450" s="578" t="s">
        <v>660</v>
      </c>
      <c r="D450" s="579"/>
      <c r="E450" s="334">
        <v>3</v>
      </c>
      <c r="F450" s="335">
        <f t="shared" si="4"/>
        <v>0</v>
      </c>
      <c r="G450" s="433">
        <f>5000-850-1200-2950</f>
        <v>0</v>
      </c>
    </row>
    <row r="451" spans="1:7" ht="28.5" customHeight="1">
      <c r="A451" s="6"/>
      <c r="B451" s="333">
        <v>1</v>
      </c>
      <c r="C451" s="578" t="s">
        <v>360</v>
      </c>
      <c r="D451" s="579"/>
      <c r="E451" s="334">
        <v>14</v>
      </c>
      <c r="F451" s="335">
        <f t="shared" si="4"/>
        <v>357.14285714285717</v>
      </c>
      <c r="G451" s="433">
        <v>5000</v>
      </c>
    </row>
    <row r="452" spans="1:7" ht="15" customHeight="1">
      <c r="A452" s="6"/>
      <c r="B452" s="574" t="s">
        <v>56</v>
      </c>
      <c r="C452" s="575"/>
      <c r="D452" s="575"/>
      <c r="E452" s="575"/>
      <c r="F452" s="576"/>
      <c r="G452" s="440">
        <f>SUM(G441:G451)</f>
        <v>5000</v>
      </c>
    </row>
    <row r="453" spans="1:7" ht="15" hidden="1">
      <c r="A453" s="6"/>
      <c r="B453" s="582" t="s">
        <v>281</v>
      </c>
      <c r="C453" s="582"/>
      <c r="D453" s="582"/>
      <c r="E453" s="582"/>
      <c r="F453" s="582"/>
      <c r="G453" s="582"/>
    </row>
    <row r="454" spans="1:7" ht="30.75" hidden="1">
      <c r="A454" s="6"/>
      <c r="B454" s="50" t="s">
        <v>33</v>
      </c>
      <c r="C454" s="533" t="s">
        <v>40</v>
      </c>
      <c r="D454" s="535"/>
      <c r="E454" s="50" t="s">
        <v>54</v>
      </c>
      <c r="F454" s="50" t="s">
        <v>55</v>
      </c>
      <c r="G454" s="256" t="s">
        <v>47</v>
      </c>
    </row>
    <row r="455" spans="1:7" ht="15" hidden="1">
      <c r="A455" s="6"/>
      <c r="B455" s="194" t="s">
        <v>316</v>
      </c>
      <c r="C455" s="557" t="s">
        <v>360</v>
      </c>
      <c r="D455" s="558"/>
      <c r="E455" s="218">
        <v>20</v>
      </c>
      <c r="F455" s="218">
        <f>G455/E455</f>
        <v>0</v>
      </c>
      <c r="G455" s="315">
        <v>0</v>
      </c>
    </row>
    <row r="456" spans="1:7" ht="15" hidden="1">
      <c r="A456" s="6"/>
      <c r="B456" s="50"/>
      <c r="C456" s="569"/>
      <c r="D456" s="570"/>
      <c r="E456" s="173"/>
      <c r="F456" s="179"/>
      <c r="G456" s="385"/>
    </row>
    <row r="457" spans="1:7" ht="15" hidden="1">
      <c r="A457" s="6"/>
      <c r="B457" s="574" t="s">
        <v>58</v>
      </c>
      <c r="C457" s="575"/>
      <c r="D457" s="575"/>
      <c r="E457" s="575"/>
      <c r="F457" s="576"/>
      <c r="G457" s="387">
        <f>G455</f>
        <v>0</v>
      </c>
    </row>
    <row r="458" spans="1:8" ht="15">
      <c r="A458" s="6"/>
      <c r="H458" s="266" t="str">
        <f>'Пр.1Титульный лист'!L15</f>
        <v>22.12.2023</v>
      </c>
    </row>
    <row r="459" spans="1:8" ht="15">
      <c r="A459" s="6"/>
      <c r="B459" s="577" t="s">
        <v>712</v>
      </c>
      <c r="C459" s="577"/>
      <c r="D459" s="577"/>
      <c r="E459" s="577"/>
      <c r="F459" s="577"/>
      <c r="G459" s="577"/>
      <c r="H459" s="577"/>
    </row>
    <row r="460" spans="1:8" ht="15">
      <c r="A460" s="6"/>
      <c r="B460" s="577" t="s">
        <v>13</v>
      </c>
      <c r="C460" s="577"/>
      <c r="D460" s="577"/>
      <c r="E460" s="577"/>
      <c r="F460" s="577"/>
      <c r="G460" s="577"/>
      <c r="H460" s="577"/>
    </row>
    <row r="461" spans="1:8" ht="15">
      <c r="A461" s="6"/>
      <c r="B461" s="591" t="s">
        <v>969</v>
      </c>
      <c r="C461" s="577"/>
      <c r="D461" s="577"/>
      <c r="E461" s="577"/>
      <c r="F461" s="577"/>
      <c r="G461" s="577"/>
      <c r="H461" s="577"/>
    </row>
    <row r="462" spans="1:8" ht="15">
      <c r="A462" s="6"/>
      <c r="B462" s="594" t="s">
        <v>673</v>
      </c>
      <c r="C462" s="594"/>
      <c r="D462" s="594"/>
      <c r="E462" s="594"/>
      <c r="F462" s="594"/>
      <c r="G462" s="594"/>
      <c r="H462" s="594"/>
    </row>
    <row r="463" spans="2:8" ht="15">
      <c r="B463" s="577" t="s">
        <v>259</v>
      </c>
      <c r="C463" s="577"/>
      <c r="D463" s="577"/>
      <c r="E463" s="577"/>
      <c r="F463" s="577"/>
      <c r="G463" s="577"/>
      <c r="H463" s="577"/>
    </row>
    <row r="464" spans="2:8" ht="15">
      <c r="B464" s="595" t="s">
        <v>219</v>
      </c>
      <c r="C464" s="595"/>
      <c r="D464" s="595"/>
      <c r="E464" s="595"/>
      <c r="F464" s="595"/>
      <c r="G464" s="595"/>
      <c r="H464" s="595"/>
    </row>
    <row r="465" spans="2:8" ht="15">
      <c r="B465" s="577" t="s">
        <v>439</v>
      </c>
      <c r="C465" s="577"/>
      <c r="D465" s="577"/>
      <c r="E465" s="577"/>
      <c r="F465" s="577"/>
      <c r="G465" s="577"/>
      <c r="H465" s="577"/>
    </row>
    <row r="466" spans="2:8" ht="37.5" customHeight="1">
      <c r="B466" s="592" t="s">
        <v>324</v>
      </c>
      <c r="C466" s="593"/>
      <c r="D466" s="592" t="s">
        <v>19</v>
      </c>
      <c r="E466" s="593"/>
      <c r="F466" s="592" t="s">
        <v>325</v>
      </c>
      <c r="G466" s="593"/>
      <c r="H466" s="596" t="s">
        <v>326</v>
      </c>
    </row>
    <row r="467" spans="2:8" ht="15">
      <c r="B467" s="152" t="s">
        <v>16</v>
      </c>
      <c r="C467" s="152" t="s">
        <v>17</v>
      </c>
      <c r="D467" s="152" t="s">
        <v>16</v>
      </c>
      <c r="E467" s="152" t="s">
        <v>17</v>
      </c>
      <c r="F467" s="152" t="s">
        <v>16</v>
      </c>
      <c r="G467" s="321" t="s">
        <v>17</v>
      </c>
      <c r="H467" s="597"/>
    </row>
    <row r="468" spans="2:8" ht="15">
      <c r="B468" s="152">
        <v>1</v>
      </c>
      <c r="C468" s="152">
        <v>2</v>
      </c>
      <c r="D468" s="152">
        <v>3</v>
      </c>
      <c r="E468" s="152">
        <v>4</v>
      </c>
      <c r="F468" s="152">
        <v>5</v>
      </c>
      <c r="G468" s="321">
        <v>6</v>
      </c>
      <c r="H468" s="153">
        <v>7</v>
      </c>
    </row>
    <row r="469" spans="2:8" ht="15">
      <c r="B469" s="257">
        <v>439976.9</v>
      </c>
      <c r="C469" s="257">
        <f>H469</f>
        <v>6969115.21</v>
      </c>
      <c r="D469" s="258">
        <f>H469/12</f>
        <v>580759.6008333333</v>
      </c>
      <c r="E469" s="258">
        <f>H469</f>
        <v>6969115.21</v>
      </c>
      <c r="F469" s="258">
        <v>439976.9</v>
      </c>
      <c r="G469" s="258">
        <f>H469</f>
        <v>6969115.21</v>
      </c>
      <c r="H469" s="259">
        <v>6969115.21</v>
      </c>
    </row>
    <row r="470" spans="2:8" ht="15">
      <c r="B470" s="598" t="s">
        <v>233</v>
      </c>
      <c r="C470" s="599"/>
      <c r="D470" s="599"/>
      <c r="E470" s="599"/>
      <c r="F470" s="599"/>
      <c r="G470" s="600"/>
      <c r="H470" s="157">
        <f>H469</f>
        <v>6969115.21</v>
      </c>
    </row>
    <row r="471" spans="2:8" ht="34.5" customHeight="1">
      <c r="B471" s="601" t="s">
        <v>970</v>
      </c>
      <c r="C471" s="602"/>
      <c r="D471" s="602"/>
      <c r="E471" s="602"/>
      <c r="F471" s="602"/>
      <c r="G471" s="602"/>
      <c r="H471" s="602"/>
    </row>
    <row r="472" spans="2:8" ht="15">
      <c r="B472" s="613" t="s">
        <v>964</v>
      </c>
      <c r="C472" s="614"/>
      <c r="D472" s="614"/>
      <c r="E472" s="614"/>
      <c r="F472" s="614"/>
      <c r="G472" s="614"/>
      <c r="H472" s="614"/>
    </row>
    <row r="473" spans="1:8" ht="15" hidden="1">
      <c r="A473" s="147"/>
      <c r="B473" s="582" t="s">
        <v>260</v>
      </c>
      <c r="C473" s="582"/>
      <c r="D473" s="582"/>
      <c r="E473" s="582"/>
      <c r="F473" s="582"/>
      <c r="G473" s="582"/>
      <c r="H473" s="163"/>
    </row>
    <row r="474" spans="1:8" ht="15" hidden="1">
      <c r="A474" s="147"/>
      <c r="B474" s="163"/>
      <c r="C474" s="163"/>
      <c r="D474" s="164"/>
      <c r="E474" s="163"/>
      <c r="F474" s="163"/>
      <c r="G474" s="368"/>
      <c r="H474" s="163"/>
    </row>
    <row r="475" spans="1:8" ht="30.75" hidden="1">
      <c r="A475" s="147"/>
      <c r="B475" s="50" t="s">
        <v>33</v>
      </c>
      <c r="C475" s="533" t="s">
        <v>40</v>
      </c>
      <c r="D475" s="535"/>
      <c r="E475" s="50" t="s">
        <v>45</v>
      </c>
      <c r="F475" s="50" t="s">
        <v>46</v>
      </c>
      <c r="G475" s="256" t="s">
        <v>47</v>
      </c>
      <c r="H475" s="163"/>
    </row>
    <row r="476" spans="1:8" ht="15" hidden="1">
      <c r="A476" s="147"/>
      <c r="B476" s="50">
        <v>1</v>
      </c>
      <c r="C476" s="533">
        <v>2</v>
      </c>
      <c r="D476" s="535"/>
      <c r="E476" s="50">
        <v>2</v>
      </c>
      <c r="F476" s="50">
        <v>4</v>
      </c>
      <c r="G476" s="256">
        <v>5</v>
      </c>
      <c r="H476" s="163"/>
    </row>
    <row r="477" spans="1:8" ht="15" hidden="1">
      <c r="A477" s="147"/>
      <c r="B477" s="50">
        <v>1</v>
      </c>
      <c r="C477" s="609" t="s">
        <v>327</v>
      </c>
      <c r="D477" s="611"/>
      <c r="E477" s="50"/>
      <c r="F477" s="50"/>
      <c r="G477" s="255"/>
      <c r="H477" s="163"/>
    </row>
    <row r="478" spans="1:8" ht="15" hidden="1">
      <c r="A478" s="147"/>
      <c r="B478" s="50"/>
      <c r="C478" s="609"/>
      <c r="D478" s="611"/>
      <c r="E478" s="50"/>
      <c r="F478" s="169"/>
      <c r="G478" s="269"/>
      <c r="H478" s="163"/>
    </row>
    <row r="479" spans="1:8" ht="15" hidden="1">
      <c r="A479" s="147"/>
      <c r="B479" s="585" t="s">
        <v>222</v>
      </c>
      <c r="C479" s="586"/>
      <c r="D479" s="587"/>
      <c r="E479" s="50" t="s">
        <v>35</v>
      </c>
      <c r="F479" s="170" t="s">
        <v>35</v>
      </c>
      <c r="G479" s="362">
        <f>SUM(G477:G478)</f>
        <v>0</v>
      </c>
      <c r="H479" s="163"/>
    </row>
    <row r="480" spans="2:8" ht="15" hidden="1">
      <c r="B480" s="185"/>
      <c r="C480" s="185"/>
      <c r="D480" s="185"/>
      <c r="E480" s="185"/>
      <c r="F480" s="185"/>
      <c r="G480" s="386"/>
      <c r="H480" s="186"/>
    </row>
    <row r="481" spans="2:8" ht="67.5" customHeight="1">
      <c r="B481" s="577" t="s">
        <v>262</v>
      </c>
      <c r="C481" s="577"/>
      <c r="D481" s="577"/>
      <c r="E481" s="577"/>
      <c r="F481" s="577"/>
      <c r="G481" s="577"/>
      <c r="H481" s="166"/>
    </row>
    <row r="482" spans="2:7" ht="62.25">
      <c r="B482" s="50" t="s">
        <v>33</v>
      </c>
      <c r="C482" s="533" t="s">
        <v>21</v>
      </c>
      <c r="D482" s="534"/>
      <c r="E482" s="535"/>
      <c r="F482" s="50" t="s">
        <v>22</v>
      </c>
      <c r="G482" s="256" t="s">
        <v>23</v>
      </c>
    </row>
    <row r="483" spans="2:7" ht="15">
      <c r="B483" s="118">
        <v>1</v>
      </c>
      <c r="C483" s="605">
        <v>2</v>
      </c>
      <c r="D483" s="606"/>
      <c r="E483" s="607"/>
      <c r="F483" s="118">
        <v>3</v>
      </c>
      <c r="G483" s="363">
        <v>4</v>
      </c>
    </row>
    <row r="484" spans="2:7" ht="42" customHeight="1">
      <c r="B484" s="118">
        <v>1</v>
      </c>
      <c r="C484" s="609" t="s">
        <v>34</v>
      </c>
      <c r="D484" s="610"/>
      <c r="E484" s="611"/>
      <c r="F484" s="118" t="s">
        <v>35</v>
      </c>
      <c r="G484" s="364">
        <f>SUM(G485:G487)</f>
        <v>1533205.3462</v>
      </c>
    </row>
    <row r="485" spans="2:7" ht="15">
      <c r="B485" s="118" t="s">
        <v>24</v>
      </c>
      <c r="C485" s="609" t="s">
        <v>36</v>
      </c>
      <c r="D485" s="610"/>
      <c r="E485" s="611"/>
      <c r="F485" s="159">
        <f>H469</f>
        <v>6969115.21</v>
      </c>
      <c r="G485" s="364">
        <f>F485*22%</f>
        <v>1533205.3462</v>
      </c>
    </row>
    <row r="486" spans="2:7" ht="15">
      <c r="B486" s="160" t="s">
        <v>25</v>
      </c>
      <c r="C486" s="609" t="s">
        <v>37</v>
      </c>
      <c r="D486" s="610"/>
      <c r="E486" s="611"/>
      <c r="F486" s="159"/>
      <c r="G486" s="364"/>
    </row>
    <row r="487" spans="2:7" ht="47.25" customHeight="1" hidden="1">
      <c r="B487" s="118" t="s">
        <v>26</v>
      </c>
      <c r="C487" s="609" t="s">
        <v>77</v>
      </c>
      <c r="D487" s="610"/>
      <c r="E487" s="611"/>
      <c r="F487" s="159"/>
      <c r="G487" s="364"/>
    </row>
    <row r="488" spans="2:7" ht="34.5" customHeight="1">
      <c r="B488" s="118">
        <v>2</v>
      </c>
      <c r="C488" s="609" t="s">
        <v>27</v>
      </c>
      <c r="D488" s="610"/>
      <c r="E488" s="611"/>
      <c r="F488" s="118" t="s">
        <v>35</v>
      </c>
      <c r="G488" s="364">
        <f>SUM(G489:G493)</f>
        <v>216042.57150999998</v>
      </c>
    </row>
    <row r="489" spans="2:7" ht="43.5" customHeight="1">
      <c r="B489" s="118" t="s">
        <v>28</v>
      </c>
      <c r="C489" s="609" t="s">
        <v>78</v>
      </c>
      <c r="D489" s="610"/>
      <c r="E489" s="611"/>
      <c r="F489" s="159">
        <f>F485</f>
        <v>6969115.21</v>
      </c>
      <c r="G489" s="364">
        <f>F489*2.9%</f>
        <v>202104.34108999997</v>
      </c>
    </row>
    <row r="490" spans="2:7" ht="36.75" customHeight="1" hidden="1">
      <c r="B490" s="118" t="s">
        <v>29</v>
      </c>
      <c r="C490" s="609" t="s">
        <v>79</v>
      </c>
      <c r="D490" s="610"/>
      <c r="E490" s="611"/>
      <c r="F490" s="159"/>
      <c r="G490" s="364"/>
    </row>
    <row r="491" spans="2:7" ht="47.25" customHeight="1">
      <c r="B491" s="118" t="s">
        <v>29</v>
      </c>
      <c r="C491" s="609" t="s">
        <v>76</v>
      </c>
      <c r="D491" s="610"/>
      <c r="E491" s="611"/>
      <c r="F491" s="159">
        <f>F489</f>
        <v>6969115.21</v>
      </c>
      <c r="G491" s="364">
        <f>F491*0.2%</f>
        <v>13938.23042</v>
      </c>
    </row>
    <row r="492" spans="2:7" ht="42" customHeight="1" hidden="1">
      <c r="B492" s="118" t="s">
        <v>31</v>
      </c>
      <c r="C492" s="609" t="s">
        <v>80</v>
      </c>
      <c r="D492" s="610"/>
      <c r="E492" s="611"/>
      <c r="F492" s="159"/>
      <c r="G492" s="364"/>
    </row>
    <row r="493" spans="2:7" ht="48.75" customHeight="1" hidden="1">
      <c r="B493" s="118" t="s">
        <v>32</v>
      </c>
      <c r="C493" s="609" t="s">
        <v>80</v>
      </c>
      <c r="D493" s="610"/>
      <c r="E493" s="611"/>
      <c r="F493" s="159"/>
      <c r="G493" s="364"/>
    </row>
    <row r="494" spans="2:7" ht="35.25" customHeight="1">
      <c r="B494" s="118" t="s">
        <v>38</v>
      </c>
      <c r="C494" s="609" t="s">
        <v>39</v>
      </c>
      <c r="D494" s="610"/>
      <c r="E494" s="611"/>
      <c r="F494" s="159">
        <f>F491</f>
        <v>6969115.21</v>
      </c>
      <c r="G494" s="364">
        <f>F494*5.1%</f>
        <v>355424.87571</v>
      </c>
    </row>
    <row r="495" spans="2:7" ht="22.5" customHeight="1">
      <c r="B495" s="574" t="s">
        <v>72</v>
      </c>
      <c r="C495" s="575"/>
      <c r="D495" s="575"/>
      <c r="E495" s="576"/>
      <c r="F495" s="118" t="s">
        <v>35</v>
      </c>
      <c r="G495" s="365">
        <f>G484+G488+G494</f>
        <v>2104672.79342</v>
      </c>
    </row>
    <row r="496" ht="15" hidden="1"/>
    <row r="497" spans="2:7" ht="15" hidden="1">
      <c r="B497" s="559" t="s">
        <v>263</v>
      </c>
      <c r="C497" s="559"/>
      <c r="D497" s="559"/>
      <c r="E497" s="559"/>
      <c r="F497" s="559"/>
      <c r="G497" s="559"/>
    </row>
    <row r="498" spans="2:7" ht="15" hidden="1">
      <c r="B498" s="163"/>
      <c r="C498" s="163"/>
      <c r="D498" s="163"/>
      <c r="E498" s="163"/>
      <c r="F498" s="163"/>
      <c r="G498" s="367"/>
    </row>
    <row r="499" spans="2:7" ht="15" hidden="1">
      <c r="B499" s="608" t="s">
        <v>220</v>
      </c>
      <c r="C499" s="608"/>
      <c r="D499" s="608"/>
      <c r="E499" s="608"/>
      <c r="F499" s="608"/>
      <c r="G499" s="608"/>
    </row>
    <row r="500" spans="2:7" ht="15" hidden="1">
      <c r="B500" s="163"/>
      <c r="C500" s="165"/>
      <c r="D500" s="163"/>
      <c r="E500" s="163"/>
      <c r="F500" s="163"/>
      <c r="G500" s="368"/>
    </row>
    <row r="501" spans="2:7" ht="78" hidden="1">
      <c r="B501" s="50" t="s">
        <v>33</v>
      </c>
      <c r="C501" s="530" t="s">
        <v>40</v>
      </c>
      <c r="D501" s="530"/>
      <c r="E501" s="50" t="s">
        <v>41</v>
      </c>
      <c r="F501" s="50" t="s">
        <v>42</v>
      </c>
      <c r="G501" s="256" t="s">
        <v>43</v>
      </c>
    </row>
    <row r="502" spans="2:7" ht="15" hidden="1">
      <c r="B502" s="50">
        <v>1</v>
      </c>
      <c r="C502" s="530">
        <v>2</v>
      </c>
      <c r="D502" s="530"/>
      <c r="E502" s="50">
        <v>3</v>
      </c>
      <c r="F502" s="50">
        <v>4</v>
      </c>
      <c r="G502" s="256">
        <v>5</v>
      </c>
    </row>
    <row r="503" spans="2:7" ht="15" hidden="1">
      <c r="B503" s="50">
        <v>1</v>
      </c>
      <c r="C503" s="609" t="s">
        <v>328</v>
      </c>
      <c r="D503" s="611"/>
      <c r="E503" s="216" t="s">
        <v>330</v>
      </c>
      <c r="F503" s="216" t="s">
        <v>330</v>
      </c>
      <c r="G503" s="269"/>
    </row>
    <row r="504" spans="2:7" ht="15" hidden="1">
      <c r="B504" s="50">
        <v>2</v>
      </c>
      <c r="C504" s="567" t="s">
        <v>329</v>
      </c>
      <c r="D504" s="567"/>
      <c r="E504" s="216" t="s">
        <v>330</v>
      </c>
      <c r="F504" s="216" t="s">
        <v>330</v>
      </c>
      <c r="G504" s="269"/>
    </row>
    <row r="505" spans="1:8" ht="15" hidden="1">
      <c r="A505" s="166"/>
      <c r="B505" s="585" t="s">
        <v>438</v>
      </c>
      <c r="C505" s="586"/>
      <c r="D505" s="586"/>
      <c r="E505" s="586"/>
      <c r="F505" s="587"/>
      <c r="G505" s="370">
        <f>SUM(G503:G504)</f>
        <v>0</v>
      </c>
      <c r="H505" s="166"/>
    </row>
    <row r="506" ht="15" hidden="1"/>
    <row r="507" spans="2:8" ht="15">
      <c r="B507" s="608" t="s">
        <v>556</v>
      </c>
      <c r="C507" s="608"/>
      <c r="D507" s="608"/>
      <c r="E507" s="608"/>
      <c r="F507" s="608"/>
      <c r="G507" s="608"/>
      <c r="H507" s="168"/>
    </row>
    <row r="508" spans="1:8" ht="15" hidden="1">
      <c r="A508" s="147"/>
      <c r="B508" s="171"/>
      <c r="C508" s="171"/>
      <c r="D508" s="171"/>
      <c r="E508" s="171"/>
      <c r="F508" s="171"/>
      <c r="G508" s="372"/>
      <c r="H508" s="163"/>
    </row>
    <row r="509" spans="1:8" ht="15" hidden="1">
      <c r="A509" s="147"/>
      <c r="B509" s="559" t="s">
        <v>266</v>
      </c>
      <c r="C509" s="559"/>
      <c r="D509" s="559"/>
      <c r="E509" s="559"/>
      <c r="F509" s="559"/>
      <c r="G509" s="559"/>
      <c r="H509" s="163"/>
    </row>
    <row r="510" spans="1:8" ht="15" hidden="1">
      <c r="A510" s="147"/>
      <c r="B510" s="163"/>
      <c r="C510" s="163"/>
      <c r="D510" s="164"/>
      <c r="E510" s="163"/>
      <c r="F510" s="163"/>
      <c r="G510" s="368"/>
      <c r="H510" s="163"/>
    </row>
    <row r="511" spans="1:8" ht="30.75" hidden="1">
      <c r="A511" s="147"/>
      <c r="B511" s="50" t="s">
        <v>33</v>
      </c>
      <c r="C511" s="50" t="s">
        <v>40</v>
      </c>
      <c r="D511" s="50" t="s">
        <v>283</v>
      </c>
      <c r="E511" s="533" t="s">
        <v>284</v>
      </c>
      <c r="F511" s="535"/>
      <c r="G511" s="256" t="s">
        <v>47</v>
      </c>
      <c r="H511" s="163"/>
    </row>
    <row r="512" spans="1:8" ht="15" hidden="1">
      <c r="A512" s="147"/>
      <c r="B512" s="50">
        <v>1</v>
      </c>
      <c r="C512" s="50">
        <v>2</v>
      </c>
      <c r="D512" s="50">
        <v>3</v>
      </c>
      <c r="E512" s="533">
        <v>4</v>
      </c>
      <c r="F512" s="535"/>
      <c r="G512" s="256">
        <v>5</v>
      </c>
      <c r="H512" s="163"/>
    </row>
    <row r="513" spans="1:8" ht="15" hidden="1">
      <c r="A513" s="147"/>
      <c r="B513" s="50"/>
      <c r="C513" s="50"/>
      <c r="D513" s="50"/>
      <c r="E513" s="533"/>
      <c r="F513" s="535"/>
      <c r="G513" s="256"/>
      <c r="H513" s="163"/>
    </row>
    <row r="514" spans="1:8" ht="15" hidden="1">
      <c r="A514" s="147"/>
      <c r="B514" s="50"/>
      <c r="C514" s="36"/>
      <c r="D514" s="50"/>
      <c r="E514" s="533"/>
      <c r="F514" s="535"/>
      <c r="G514" s="269"/>
      <c r="H514" s="163"/>
    </row>
    <row r="515" spans="1:8" ht="15" hidden="1">
      <c r="A515" s="147"/>
      <c r="B515" s="585" t="s">
        <v>226</v>
      </c>
      <c r="C515" s="586"/>
      <c r="D515" s="586"/>
      <c r="E515" s="586"/>
      <c r="F515" s="587"/>
      <c r="G515" s="362">
        <f>SUM(G514:G514)</f>
        <v>0</v>
      </c>
      <c r="H515" s="163"/>
    </row>
    <row r="516" spans="1:8" ht="15" hidden="1">
      <c r="A516" s="147"/>
      <c r="B516" s="171"/>
      <c r="C516" s="171"/>
      <c r="D516" s="171"/>
      <c r="E516" s="171"/>
      <c r="F516" s="171"/>
      <c r="G516" s="371"/>
      <c r="H516" s="163"/>
    </row>
    <row r="517" spans="1:8" ht="15">
      <c r="A517" s="147"/>
      <c r="B517" s="621" t="s">
        <v>267</v>
      </c>
      <c r="C517" s="621"/>
      <c r="D517" s="621"/>
      <c r="E517" s="621"/>
      <c r="F517" s="621"/>
      <c r="G517" s="621"/>
      <c r="H517" s="163"/>
    </row>
    <row r="518" spans="1:8" ht="46.5">
      <c r="A518" s="147"/>
      <c r="B518" s="50" t="s">
        <v>33</v>
      </c>
      <c r="C518" s="50" t="s">
        <v>40</v>
      </c>
      <c r="D518" s="50" t="s">
        <v>84</v>
      </c>
      <c r="E518" s="50" t="s">
        <v>48</v>
      </c>
      <c r="F518" s="50" t="s">
        <v>49</v>
      </c>
      <c r="G518" s="256" t="s">
        <v>47</v>
      </c>
      <c r="H518" s="163"/>
    </row>
    <row r="519" spans="1:8" ht="30.75">
      <c r="A519" s="147"/>
      <c r="B519" s="50">
        <v>1</v>
      </c>
      <c r="C519" s="217" t="s">
        <v>311</v>
      </c>
      <c r="D519" s="238">
        <f aca="true" t="shared" si="5" ref="D519:D525">G519/E519</f>
        <v>73746.31268436578</v>
      </c>
      <c r="E519" s="238">
        <v>6.78</v>
      </c>
      <c r="F519" s="255"/>
      <c r="G519" s="255">
        <f>350000+150000</f>
        <v>500000</v>
      </c>
      <c r="H519" s="163"/>
    </row>
    <row r="520" spans="1:8" ht="30.75">
      <c r="A520" s="147"/>
      <c r="B520" s="50">
        <v>2</v>
      </c>
      <c r="C520" s="217" t="s">
        <v>331</v>
      </c>
      <c r="D520" s="238">
        <f t="shared" si="5"/>
        <v>718.8643996342672</v>
      </c>
      <c r="E520" s="238">
        <v>1826.47</v>
      </c>
      <c r="F520" s="255"/>
      <c r="G520" s="255">
        <f>1162984.26+150000</f>
        <v>1312984.26</v>
      </c>
      <c r="H520" s="163"/>
    </row>
    <row r="521" spans="1:8" ht="15">
      <c r="A521" s="147"/>
      <c r="B521" s="50">
        <v>3</v>
      </c>
      <c r="C521" s="217" t="s">
        <v>332</v>
      </c>
      <c r="D521" s="238">
        <f t="shared" si="5"/>
        <v>770.8119218910585</v>
      </c>
      <c r="E521" s="238">
        <v>116.76</v>
      </c>
      <c r="F521" s="255"/>
      <c r="G521" s="255">
        <v>90000</v>
      </c>
      <c r="H521" s="163"/>
    </row>
    <row r="522" spans="1:8" s="9" customFormat="1" ht="15.75" customHeight="1">
      <c r="A522" s="172"/>
      <c r="B522" s="585" t="s">
        <v>711</v>
      </c>
      <c r="C522" s="586"/>
      <c r="D522" s="586"/>
      <c r="E522" s="586"/>
      <c r="F522" s="587"/>
      <c r="G522" s="362">
        <f>G519+G520+G521</f>
        <v>1902984.26</v>
      </c>
      <c r="H522" s="22"/>
    </row>
    <row r="523" spans="1:8" ht="15">
      <c r="A523" s="147"/>
      <c r="B523" s="50">
        <v>4</v>
      </c>
      <c r="C523" s="217" t="s">
        <v>333</v>
      </c>
      <c r="D523" s="238">
        <f t="shared" si="5"/>
        <v>2092.050209205021</v>
      </c>
      <c r="E523" s="238">
        <v>19.12</v>
      </c>
      <c r="F523" s="255"/>
      <c r="G523" s="255">
        <v>40000</v>
      </c>
      <c r="H523" s="163"/>
    </row>
    <row r="524" spans="1:8" ht="15">
      <c r="A524" s="147"/>
      <c r="B524" s="50">
        <v>5</v>
      </c>
      <c r="C524" s="217" t="s">
        <v>334</v>
      </c>
      <c r="D524" s="238">
        <f t="shared" si="5"/>
        <v>2476.013618074899</v>
      </c>
      <c r="E524" s="238">
        <v>32.31</v>
      </c>
      <c r="F524" s="255"/>
      <c r="G524" s="255">
        <v>80000</v>
      </c>
      <c r="H524" s="163"/>
    </row>
    <row r="525" spans="1:8" ht="15">
      <c r="A525" s="147"/>
      <c r="B525" s="50">
        <v>6</v>
      </c>
      <c r="C525" s="217" t="s">
        <v>335</v>
      </c>
      <c r="D525" s="238">
        <f t="shared" si="5"/>
        <v>18.525508467315213</v>
      </c>
      <c r="E525" s="238">
        <v>4318.37</v>
      </c>
      <c r="F525" s="255"/>
      <c r="G525" s="255">
        <f>50000+30000</f>
        <v>80000</v>
      </c>
      <c r="H525" s="163"/>
    </row>
    <row r="526" spans="1:8" s="9" customFormat="1" ht="15.75" customHeight="1">
      <c r="A526" s="172"/>
      <c r="B526" s="585" t="s">
        <v>710</v>
      </c>
      <c r="C526" s="586"/>
      <c r="D526" s="586"/>
      <c r="E526" s="586"/>
      <c r="F526" s="587"/>
      <c r="G526" s="362">
        <f>G523+G524+G525</f>
        <v>200000</v>
      </c>
      <c r="H526" s="22"/>
    </row>
    <row r="527" spans="1:8" ht="15">
      <c r="A527" s="172"/>
      <c r="B527" s="585" t="s">
        <v>73</v>
      </c>
      <c r="C527" s="586"/>
      <c r="D527" s="586"/>
      <c r="E527" s="586"/>
      <c r="F527" s="587"/>
      <c r="G527" s="362">
        <f>G522+G526</f>
        <v>2102984.26</v>
      </c>
      <c r="H527" s="22"/>
    </row>
    <row r="528" spans="1:8" ht="30" customHeight="1" hidden="1">
      <c r="A528" s="172"/>
      <c r="B528" s="588"/>
      <c r="C528" s="588"/>
      <c r="D528" s="588"/>
      <c r="E528" s="588"/>
      <c r="F528" s="171"/>
      <c r="G528" s="372"/>
      <c r="H528" s="22"/>
    </row>
    <row r="529" spans="1:8" ht="15" hidden="1">
      <c r="A529" s="172"/>
      <c r="B529" s="582" t="s">
        <v>268</v>
      </c>
      <c r="C529" s="582"/>
      <c r="D529" s="582"/>
      <c r="E529" s="582"/>
      <c r="F529" s="582"/>
      <c r="G529" s="582"/>
      <c r="H529" s="22"/>
    </row>
    <row r="530" spans="1:8" ht="15" hidden="1">
      <c r="A530" s="172"/>
      <c r="B530" s="163"/>
      <c r="C530" s="163"/>
      <c r="D530" s="164"/>
      <c r="E530" s="163"/>
      <c r="F530" s="163"/>
      <c r="G530" s="368"/>
      <c r="H530" s="22"/>
    </row>
    <row r="531" spans="1:8" ht="30.75" hidden="1">
      <c r="A531" s="172"/>
      <c r="B531" s="50" t="s">
        <v>33</v>
      </c>
      <c r="C531" s="50" t="s">
        <v>40</v>
      </c>
      <c r="D531" s="50" t="s">
        <v>54</v>
      </c>
      <c r="E531" s="27" t="s">
        <v>285</v>
      </c>
      <c r="F531" s="50" t="s">
        <v>47</v>
      </c>
      <c r="G531" s="373"/>
      <c r="H531" s="22"/>
    </row>
    <row r="532" spans="1:8" ht="15" hidden="1">
      <c r="A532" s="172"/>
      <c r="B532" s="118">
        <v>1</v>
      </c>
      <c r="C532" s="118">
        <v>2</v>
      </c>
      <c r="D532" s="118">
        <v>3</v>
      </c>
      <c r="E532" s="158">
        <v>4</v>
      </c>
      <c r="F532" s="50">
        <v>5</v>
      </c>
      <c r="G532" s="373"/>
      <c r="H532" s="22"/>
    </row>
    <row r="533" spans="1:8" ht="15" hidden="1">
      <c r="A533" s="172"/>
      <c r="B533" s="118"/>
      <c r="C533" s="50"/>
      <c r="D533" s="118"/>
      <c r="E533" s="158"/>
      <c r="F533" s="187"/>
      <c r="G533" s="373"/>
      <c r="H533" s="22"/>
    </row>
    <row r="534" spans="1:8" ht="15" hidden="1">
      <c r="A534" s="172"/>
      <c r="B534" s="118"/>
      <c r="C534" s="50"/>
      <c r="D534" s="118"/>
      <c r="E534" s="158"/>
      <c r="F534" s="187"/>
      <c r="G534" s="373"/>
      <c r="H534" s="22"/>
    </row>
    <row r="535" spans="1:8" ht="15" hidden="1">
      <c r="A535" s="147"/>
      <c r="B535" s="574" t="s">
        <v>227</v>
      </c>
      <c r="C535" s="575"/>
      <c r="D535" s="575"/>
      <c r="E535" s="576"/>
      <c r="F535" s="122">
        <f>SUM(F533:F534)</f>
        <v>0</v>
      </c>
      <c r="G535" s="374"/>
      <c r="H535" s="163"/>
    </row>
    <row r="536" spans="1:8" ht="15" hidden="1">
      <c r="A536" s="147"/>
      <c r="B536" s="176"/>
      <c r="C536" s="176"/>
      <c r="D536" s="176"/>
      <c r="E536" s="176"/>
      <c r="F536" s="178"/>
      <c r="G536" s="374"/>
      <c r="H536" s="163"/>
    </row>
    <row r="537" spans="1:8" ht="15">
      <c r="A537" s="147"/>
      <c r="B537" s="582" t="s">
        <v>269</v>
      </c>
      <c r="C537" s="582"/>
      <c r="D537" s="582"/>
      <c r="E537" s="582"/>
      <c r="F537" s="582"/>
      <c r="G537" s="582"/>
      <c r="H537" s="163"/>
    </row>
    <row r="538" spans="1:8" ht="30.75">
      <c r="A538" s="147"/>
      <c r="B538" s="50" t="s">
        <v>33</v>
      </c>
      <c r="C538" s="530" t="s">
        <v>40</v>
      </c>
      <c r="D538" s="530"/>
      <c r="E538" s="50" t="s">
        <v>50</v>
      </c>
      <c r="F538" s="27" t="s">
        <v>51</v>
      </c>
      <c r="G538" s="256" t="s">
        <v>47</v>
      </c>
      <c r="H538" s="163"/>
    </row>
    <row r="539" spans="1:8" ht="36.75" customHeight="1">
      <c r="A539" s="147"/>
      <c r="B539" s="118">
        <v>1</v>
      </c>
      <c r="C539" s="567" t="s">
        <v>336</v>
      </c>
      <c r="D539" s="567"/>
      <c r="E539" s="118">
        <v>1</v>
      </c>
      <c r="F539" s="158">
        <v>12</v>
      </c>
      <c r="G539" s="388">
        <v>71448</v>
      </c>
      <c r="H539" s="174"/>
    </row>
    <row r="540" spans="1:8" ht="20.25" customHeight="1">
      <c r="A540" s="147"/>
      <c r="B540" s="118">
        <v>2</v>
      </c>
      <c r="C540" s="567" t="s">
        <v>338</v>
      </c>
      <c r="D540" s="567"/>
      <c r="E540" s="118">
        <v>1</v>
      </c>
      <c r="F540" s="158">
        <v>12</v>
      </c>
      <c r="G540" s="388">
        <f>91579+70000</f>
        <v>161579</v>
      </c>
      <c r="H540" s="174"/>
    </row>
    <row r="541" spans="1:8" ht="34.5" customHeight="1">
      <c r="A541" s="147"/>
      <c r="B541" s="118">
        <v>3</v>
      </c>
      <c r="C541" s="567" t="s">
        <v>339</v>
      </c>
      <c r="D541" s="567"/>
      <c r="E541" s="118">
        <v>1</v>
      </c>
      <c r="F541" s="158">
        <v>12</v>
      </c>
      <c r="G541" s="388">
        <v>32666</v>
      </c>
      <c r="H541" s="174"/>
    </row>
    <row r="542" spans="1:8" ht="38.25" customHeight="1">
      <c r="A542" s="147"/>
      <c r="B542" s="118">
        <v>4</v>
      </c>
      <c r="C542" s="567" t="s">
        <v>340</v>
      </c>
      <c r="D542" s="567"/>
      <c r="E542" s="118">
        <v>1</v>
      </c>
      <c r="F542" s="158">
        <v>12</v>
      </c>
      <c r="G542" s="388">
        <v>37839</v>
      </c>
      <c r="H542" s="174"/>
    </row>
    <row r="543" spans="1:8" ht="33" customHeight="1">
      <c r="A543" s="147"/>
      <c r="B543" s="118">
        <v>5</v>
      </c>
      <c r="C543" s="567" t="s">
        <v>341</v>
      </c>
      <c r="D543" s="567"/>
      <c r="E543" s="118">
        <v>1</v>
      </c>
      <c r="F543" s="158">
        <v>12</v>
      </c>
      <c r="G543" s="388">
        <f>27222+20000</f>
        <v>47222</v>
      </c>
      <c r="H543" s="174"/>
    </row>
    <row r="544" spans="1:8" ht="21" customHeight="1">
      <c r="A544" s="147"/>
      <c r="B544" s="118">
        <v>6</v>
      </c>
      <c r="C544" s="567" t="s">
        <v>343</v>
      </c>
      <c r="D544" s="567"/>
      <c r="E544" s="118">
        <v>1</v>
      </c>
      <c r="F544" s="158">
        <v>12</v>
      </c>
      <c r="G544" s="388">
        <f>54445+50000</f>
        <v>104445</v>
      </c>
      <c r="H544" s="174"/>
    </row>
    <row r="545" spans="1:8" ht="15">
      <c r="A545" s="172"/>
      <c r="B545" s="565" t="s">
        <v>69</v>
      </c>
      <c r="C545" s="565"/>
      <c r="D545" s="565"/>
      <c r="E545" s="565"/>
      <c r="F545" s="565"/>
      <c r="G545" s="362">
        <f>SUM(G539:G544)</f>
        <v>455199</v>
      </c>
      <c r="H545" s="175"/>
    </row>
    <row r="546" spans="1:8" ht="15">
      <c r="A546" s="147"/>
      <c r="B546" s="559" t="s">
        <v>270</v>
      </c>
      <c r="C546" s="559"/>
      <c r="D546" s="559"/>
      <c r="E546" s="559"/>
      <c r="F546" s="559"/>
      <c r="G546" s="559"/>
      <c r="H546" s="163"/>
    </row>
    <row r="547" spans="1:8" ht="30.75">
      <c r="A547" s="147"/>
      <c r="B547" s="50" t="s">
        <v>33</v>
      </c>
      <c r="C547" s="533" t="s">
        <v>40</v>
      </c>
      <c r="D547" s="534"/>
      <c r="E547" s="535"/>
      <c r="F547" s="50" t="s">
        <v>52</v>
      </c>
      <c r="G547" s="256" t="s">
        <v>53</v>
      </c>
      <c r="H547" s="163"/>
    </row>
    <row r="548" spans="1:8" ht="15">
      <c r="A548" s="147"/>
      <c r="B548" s="118">
        <v>1</v>
      </c>
      <c r="C548" s="571" t="s">
        <v>344</v>
      </c>
      <c r="D548" s="572"/>
      <c r="E548" s="573"/>
      <c r="F548" s="173" t="s">
        <v>313</v>
      </c>
      <c r="G548" s="377">
        <v>81955</v>
      </c>
      <c r="H548" s="174"/>
    </row>
    <row r="549" spans="1:8" ht="15">
      <c r="A549" s="147"/>
      <c r="B549" s="118">
        <v>2</v>
      </c>
      <c r="C549" s="571" t="s">
        <v>345</v>
      </c>
      <c r="D549" s="572"/>
      <c r="E549" s="573"/>
      <c r="F549" s="173" t="s">
        <v>313</v>
      </c>
      <c r="G549" s="377">
        <v>147578.74</v>
      </c>
      <c r="H549" s="174"/>
    </row>
    <row r="550" spans="1:8" ht="15">
      <c r="A550" s="147"/>
      <c r="B550" s="118">
        <v>3</v>
      </c>
      <c r="C550" s="571" t="s">
        <v>350</v>
      </c>
      <c r="D550" s="572"/>
      <c r="E550" s="573"/>
      <c r="F550" s="173" t="s">
        <v>313</v>
      </c>
      <c r="G550" s="377">
        <v>108677</v>
      </c>
      <c r="H550" s="174"/>
    </row>
    <row r="551" spans="1:8" ht="15">
      <c r="A551" s="147"/>
      <c r="B551" s="118">
        <v>4</v>
      </c>
      <c r="C551" s="571" t="s">
        <v>451</v>
      </c>
      <c r="D551" s="572"/>
      <c r="E551" s="573"/>
      <c r="F551" s="173" t="s">
        <v>313</v>
      </c>
      <c r="G551" s="377">
        <v>2029818</v>
      </c>
      <c r="H551" s="174"/>
    </row>
    <row r="552" spans="1:8" ht="15">
      <c r="A552" s="147"/>
      <c r="B552" s="574" t="s">
        <v>71</v>
      </c>
      <c r="C552" s="575"/>
      <c r="D552" s="575"/>
      <c r="E552" s="575"/>
      <c r="F552" s="576"/>
      <c r="G552" s="378">
        <f>SUM(G548:G551)</f>
        <v>2368028.74</v>
      </c>
      <c r="H552" s="163"/>
    </row>
  </sheetData>
  <sheetProtection/>
  <mergeCells count="469">
    <mergeCell ref="B452:F452"/>
    <mergeCell ref="C449:D449"/>
    <mergeCell ref="C450:D450"/>
    <mergeCell ref="C451:D451"/>
    <mergeCell ref="C443:D443"/>
    <mergeCell ref="C444:D444"/>
    <mergeCell ref="C445:D445"/>
    <mergeCell ref="C446:D446"/>
    <mergeCell ref="C447:D447"/>
    <mergeCell ref="C448:D448"/>
    <mergeCell ref="C216:D216"/>
    <mergeCell ref="C215:D215"/>
    <mergeCell ref="C247:D247"/>
    <mergeCell ref="C248:D248"/>
    <mergeCell ref="C185:D185"/>
    <mergeCell ref="C178:D178"/>
    <mergeCell ref="C246:D246"/>
    <mergeCell ref="B179:F179"/>
    <mergeCell ref="C192:D192"/>
    <mergeCell ref="C204:D204"/>
    <mergeCell ref="J109:K109"/>
    <mergeCell ref="J110:K110"/>
    <mergeCell ref="J111:K111"/>
    <mergeCell ref="C113:E113"/>
    <mergeCell ref="C136:E136"/>
    <mergeCell ref="C131:E131"/>
    <mergeCell ref="C112:E112"/>
    <mergeCell ref="C114:E114"/>
    <mergeCell ref="B133:G133"/>
    <mergeCell ref="C122:E122"/>
    <mergeCell ref="C137:E137"/>
    <mergeCell ref="C190:D190"/>
    <mergeCell ref="B187:G187"/>
    <mergeCell ref="C189:D189"/>
    <mergeCell ref="C214:D214"/>
    <mergeCell ref="C151:E151"/>
    <mergeCell ref="C152:E152"/>
    <mergeCell ref="B200:G200"/>
    <mergeCell ref="B164:E164"/>
    <mergeCell ref="C168:E168"/>
    <mergeCell ref="C130:E130"/>
    <mergeCell ref="C109:E109"/>
    <mergeCell ref="C118:E118"/>
    <mergeCell ref="C127:E127"/>
    <mergeCell ref="C129:E129"/>
    <mergeCell ref="C120:E120"/>
    <mergeCell ref="C128:E128"/>
    <mergeCell ref="C84:D84"/>
    <mergeCell ref="C85:D85"/>
    <mergeCell ref="C87:D87"/>
    <mergeCell ref="C90:D90"/>
    <mergeCell ref="B89:F89"/>
    <mergeCell ref="B104:E104"/>
    <mergeCell ref="B95:F95"/>
    <mergeCell ref="C330:D330"/>
    <mergeCell ref="C92:D92"/>
    <mergeCell ref="C115:E115"/>
    <mergeCell ref="C116:E116"/>
    <mergeCell ref="C117:E117"/>
    <mergeCell ref="C107:E107"/>
    <mergeCell ref="C142:E142"/>
    <mergeCell ref="C123:E123"/>
    <mergeCell ref="B132:G132"/>
    <mergeCell ref="C139:E139"/>
    <mergeCell ref="C198:D198"/>
    <mergeCell ref="C297:E297"/>
    <mergeCell ref="B298:E298"/>
    <mergeCell ref="B280:G280"/>
    <mergeCell ref="C281:D281"/>
    <mergeCell ref="B283:D283"/>
    <mergeCell ref="B285:G285"/>
    <mergeCell ref="C286:E286"/>
    <mergeCell ref="C291:E291"/>
    <mergeCell ref="C290:E290"/>
    <mergeCell ref="C182:D182"/>
    <mergeCell ref="C162:D162"/>
    <mergeCell ref="B172:G172"/>
    <mergeCell ref="C174:D174"/>
    <mergeCell ref="B194:G194"/>
    <mergeCell ref="C196:D196"/>
    <mergeCell ref="C176:D176"/>
    <mergeCell ref="C177:D177"/>
    <mergeCell ref="C183:D183"/>
    <mergeCell ref="B199:F199"/>
    <mergeCell ref="C175:D175"/>
    <mergeCell ref="C184:D184"/>
    <mergeCell ref="C121:E121"/>
    <mergeCell ref="C153:E153"/>
    <mergeCell ref="B163:F163"/>
    <mergeCell ref="B170:F170"/>
    <mergeCell ref="B186:F186"/>
    <mergeCell ref="C197:D197"/>
    <mergeCell ref="C169:E169"/>
    <mergeCell ref="C255:D255"/>
    <mergeCell ref="B250:F250"/>
    <mergeCell ref="B251:G251"/>
    <mergeCell ref="C213:D213"/>
    <mergeCell ref="C282:D282"/>
    <mergeCell ref="C234:D234"/>
    <mergeCell ref="C244:D244"/>
    <mergeCell ref="B231:F231"/>
    <mergeCell ref="C240:D240"/>
    <mergeCell ref="C262:D262"/>
    <mergeCell ref="C493:E493"/>
    <mergeCell ref="B495:E495"/>
    <mergeCell ref="C503:D503"/>
    <mergeCell ref="C287:E287"/>
    <mergeCell ref="B497:G497"/>
    <mergeCell ref="C492:E492"/>
    <mergeCell ref="C487:E487"/>
    <mergeCell ref="C488:E488"/>
    <mergeCell ref="C306:D306"/>
    <mergeCell ref="C292:E292"/>
    <mergeCell ref="B310:G310"/>
    <mergeCell ref="C542:D542"/>
    <mergeCell ref="B505:F505"/>
    <mergeCell ref="C91:D91"/>
    <mergeCell ref="C93:D93"/>
    <mergeCell ref="C144:E144"/>
    <mergeCell ref="B98:G98"/>
    <mergeCell ref="C202:D202"/>
    <mergeCell ref="C504:D504"/>
    <mergeCell ref="B271:H271"/>
    <mergeCell ref="C494:E494"/>
    <mergeCell ref="B507:G507"/>
    <mergeCell ref="C544:D544"/>
    <mergeCell ref="B499:G499"/>
    <mergeCell ref="C501:D501"/>
    <mergeCell ref="C502:D502"/>
    <mergeCell ref="B517:G517"/>
    <mergeCell ref="C540:D540"/>
    <mergeCell ref="B515:F515"/>
    <mergeCell ref="C541:D541"/>
    <mergeCell ref="B300:G300"/>
    <mergeCell ref="C288:E288"/>
    <mergeCell ref="C289:E289"/>
    <mergeCell ref="C295:E295"/>
    <mergeCell ref="B277:G277"/>
    <mergeCell ref="B278:H278"/>
    <mergeCell ref="B279:H279"/>
    <mergeCell ref="C296:E296"/>
    <mergeCell ref="B333:F333"/>
    <mergeCell ref="B329:F329"/>
    <mergeCell ref="C294:E294"/>
    <mergeCell ref="B324:G324"/>
    <mergeCell ref="C331:D331"/>
    <mergeCell ref="C332:D332"/>
    <mergeCell ref="B301:G301"/>
    <mergeCell ref="C303:D303"/>
    <mergeCell ref="C304:D304"/>
    <mergeCell ref="B311:G311"/>
    <mergeCell ref="B545:F545"/>
    <mergeCell ref="C94:D94"/>
    <mergeCell ref="C325:D325"/>
    <mergeCell ref="C326:D326"/>
    <mergeCell ref="C327:D327"/>
    <mergeCell ref="C491:E491"/>
    <mergeCell ref="C106:E106"/>
    <mergeCell ref="C489:E489"/>
    <mergeCell ref="B509:G509"/>
    <mergeCell ref="C543:D543"/>
    <mergeCell ref="B55:G55"/>
    <mergeCell ref="B56:G56"/>
    <mergeCell ref="C58:D58"/>
    <mergeCell ref="B65:G65"/>
    <mergeCell ref="B64:D64"/>
    <mergeCell ref="C490:E490"/>
    <mergeCell ref="C125:E125"/>
    <mergeCell ref="B267:H267"/>
    <mergeCell ref="C63:D63"/>
    <mergeCell ref="C59:D59"/>
    <mergeCell ref="C60:D60"/>
    <mergeCell ref="C62:D62"/>
    <mergeCell ref="C484:E484"/>
    <mergeCell ref="B80:G80"/>
    <mergeCell ref="C108:E108"/>
    <mergeCell ref="C110:E110"/>
    <mergeCell ref="C454:D454"/>
    <mergeCell ref="B72:G72"/>
    <mergeCell ref="C83:D83"/>
    <mergeCell ref="C293:E293"/>
    <mergeCell ref="C485:E485"/>
    <mergeCell ref="B470:G470"/>
    <mergeCell ref="B464:H464"/>
    <mergeCell ref="B462:H462"/>
    <mergeCell ref="B463:H463"/>
    <mergeCell ref="C328:D328"/>
    <mergeCell ref="B481:G481"/>
    <mergeCell ref="C483:E483"/>
    <mergeCell ref="B457:F457"/>
    <mergeCell ref="B459:H459"/>
    <mergeCell ref="C486:E486"/>
    <mergeCell ref="B471:H471"/>
    <mergeCell ref="B472:H472"/>
    <mergeCell ref="B473:G473"/>
    <mergeCell ref="C475:D475"/>
    <mergeCell ref="C476:D476"/>
    <mergeCell ref="C482:E482"/>
    <mergeCell ref="C477:D477"/>
    <mergeCell ref="C478:D478"/>
    <mergeCell ref="B479:D479"/>
    <mergeCell ref="B465:H465"/>
    <mergeCell ref="B466:C466"/>
    <mergeCell ref="D466:E466"/>
    <mergeCell ref="F466:G466"/>
    <mergeCell ref="C455:D455"/>
    <mergeCell ref="C456:D456"/>
    <mergeCell ref="H466:H467"/>
    <mergeCell ref="B460:H460"/>
    <mergeCell ref="B461:H461"/>
    <mergeCell ref="C432:D432"/>
    <mergeCell ref="C433:D433"/>
    <mergeCell ref="B436:F436"/>
    <mergeCell ref="B453:G453"/>
    <mergeCell ref="C434:D434"/>
    <mergeCell ref="C435:D435"/>
    <mergeCell ref="B438:G438"/>
    <mergeCell ref="C440:D440"/>
    <mergeCell ref="C441:D441"/>
    <mergeCell ref="C442:D442"/>
    <mergeCell ref="C425:D425"/>
    <mergeCell ref="C426:D426"/>
    <mergeCell ref="B429:F429"/>
    <mergeCell ref="B430:G430"/>
    <mergeCell ref="C427:D427"/>
    <mergeCell ref="C428:D428"/>
    <mergeCell ref="B420:G420"/>
    <mergeCell ref="C421:D421"/>
    <mergeCell ref="C423:D423"/>
    <mergeCell ref="C424:D424"/>
    <mergeCell ref="C422:D422"/>
    <mergeCell ref="B412:G412"/>
    <mergeCell ref="C414:D414"/>
    <mergeCell ref="C417:D417"/>
    <mergeCell ref="B418:F418"/>
    <mergeCell ref="C415:D415"/>
    <mergeCell ref="C416:D416"/>
    <mergeCell ref="B407:G407"/>
    <mergeCell ref="C408:D408"/>
    <mergeCell ref="C410:D410"/>
    <mergeCell ref="B411:F411"/>
    <mergeCell ref="C409:D409"/>
    <mergeCell ref="B402:G402"/>
    <mergeCell ref="C403:D403"/>
    <mergeCell ref="C405:D405"/>
    <mergeCell ref="B406:F406"/>
    <mergeCell ref="C404:D404"/>
    <mergeCell ref="B397:G397"/>
    <mergeCell ref="C398:D398"/>
    <mergeCell ref="C400:D400"/>
    <mergeCell ref="B401:F401"/>
    <mergeCell ref="C399:D399"/>
    <mergeCell ref="B388:F388"/>
    <mergeCell ref="B390:G390"/>
    <mergeCell ref="C394:D394"/>
    <mergeCell ref="B395:F395"/>
    <mergeCell ref="C392:D392"/>
    <mergeCell ref="C393:D393"/>
    <mergeCell ref="B380:F380"/>
    <mergeCell ref="B382:G382"/>
    <mergeCell ref="C386:D386"/>
    <mergeCell ref="C387:D387"/>
    <mergeCell ref="C384:D384"/>
    <mergeCell ref="C385:D385"/>
    <mergeCell ref="C372:D372"/>
    <mergeCell ref="B373:F373"/>
    <mergeCell ref="C378:E378"/>
    <mergeCell ref="B375:G375"/>
    <mergeCell ref="C377:E377"/>
    <mergeCell ref="C379:E379"/>
    <mergeCell ref="B366:F366"/>
    <mergeCell ref="C369:D369"/>
    <mergeCell ref="B367:G367"/>
    <mergeCell ref="C365:E365"/>
    <mergeCell ref="C370:D370"/>
    <mergeCell ref="C371:D371"/>
    <mergeCell ref="B356:G356"/>
    <mergeCell ref="C344:D344"/>
    <mergeCell ref="C345:D345"/>
    <mergeCell ref="C362:E362"/>
    <mergeCell ref="C363:E363"/>
    <mergeCell ref="C364:E364"/>
    <mergeCell ref="C358:E358"/>
    <mergeCell ref="C359:E359"/>
    <mergeCell ref="C361:E361"/>
    <mergeCell ref="C360:E360"/>
    <mergeCell ref="B341:E341"/>
    <mergeCell ref="B343:G343"/>
    <mergeCell ref="C357:E357"/>
    <mergeCell ref="B307:D307"/>
    <mergeCell ref="B309:G309"/>
    <mergeCell ref="C305:D305"/>
    <mergeCell ref="C346:D346"/>
    <mergeCell ref="C347:D347"/>
    <mergeCell ref="E320:F320"/>
    <mergeCell ref="E321:F321"/>
    <mergeCell ref="B334:F334"/>
    <mergeCell ref="B335:G335"/>
    <mergeCell ref="B322:F322"/>
    <mergeCell ref="B256:F256"/>
    <mergeCell ref="C260:D260"/>
    <mergeCell ref="D273:E273"/>
    <mergeCell ref="E318:F318"/>
    <mergeCell ref="E319:F319"/>
    <mergeCell ref="B315:F315"/>
    <mergeCell ref="B316:G316"/>
    <mergeCell ref="C222:D222"/>
    <mergeCell ref="B272:H272"/>
    <mergeCell ref="B273:C273"/>
    <mergeCell ref="H273:H274"/>
    <mergeCell ref="C261:D261"/>
    <mergeCell ref="F273:G273"/>
    <mergeCell ref="B263:F263"/>
    <mergeCell ref="B268:H268"/>
    <mergeCell ref="B269:H269"/>
    <mergeCell ref="B270:H270"/>
    <mergeCell ref="C223:D223"/>
    <mergeCell ref="B224:F224"/>
    <mergeCell ref="C241:D241"/>
    <mergeCell ref="C230:D230"/>
    <mergeCell ref="C228:D228"/>
    <mergeCell ref="C229:D229"/>
    <mergeCell ref="B40:E40"/>
    <mergeCell ref="C160:D160"/>
    <mergeCell ref="C135:E135"/>
    <mergeCell ref="E76:F76"/>
    <mergeCell ref="E77:F77"/>
    <mergeCell ref="B66:G66"/>
    <mergeCell ref="C119:E119"/>
    <mergeCell ref="B53:G53"/>
    <mergeCell ref="E75:F75"/>
    <mergeCell ref="C81:D81"/>
    <mergeCell ref="C61:D61"/>
    <mergeCell ref="C111:E111"/>
    <mergeCell ref="B67:G67"/>
    <mergeCell ref="B96:F96"/>
    <mergeCell ref="B78:F78"/>
    <mergeCell ref="B71:F71"/>
    <mergeCell ref="E74:F74"/>
    <mergeCell ref="C88:D88"/>
    <mergeCell ref="B105:G105"/>
    <mergeCell ref="C82:D82"/>
    <mergeCell ref="C33:E33"/>
    <mergeCell ref="C34:E34"/>
    <mergeCell ref="C35:E35"/>
    <mergeCell ref="C36:E36"/>
    <mergeCell ref="C38:E38"/>
    <mergeCell ref="C39:E39"/>
    <mergeCell ref="C52:E52"/>
    <mergeCell ref="B21:H21"/>
    <mergeCell ref="C23:D23"/>
    <mergeCell ref="B25:D25"/>
    <mergeCell ref="C29:E29"/>
    <mergeCell ref="C30:E30"/>
    <mergeCell ref="C24:D24"/>
    <mergeCell ref="C37:E37"/>
    <mergeCell ref="C50:E50"/>
    <mergeCell ref="C51:E51"/>
    <mergeCell ref="B26:G26"/>
    <mergeCell ref="C27:E27"/>
    <mergeCell ref="C28:E28"/>
    <mergeCell ref="C48:E48"/>
    <mergeCell ref="C49:E49"/>
    <mergeCell ref="B44:G44"/>
    <mergeCell ref="B46:G46"/>
    <mergeCell ref="C31:E31"/>
    <mergeCell ref="C32:E32"/>
    <mergeCell ref="B41:F41"/>
    <mergeCell ref="B13:C13"/>
    <mergeCell ref="D13:E13"/>
    <mergeCell ref="H13:H14"/>
    <mergeCell ref="B22:G22"/>
    <mergeCell ref="B17:G17"/>
    <mergeCell ref="B20:H20"/>
    <mergeCell ref="B18:G18"/>
    <mergeCell ref="G1:H1"/>
    <mergeCell ref="F2:H4"/>
    <mergeCell ref="B6:H6"/>
    <mergeCell ref="B7:H7"/>
    <mergeCell ref="B8:H8"/>
    <mergeCell ref="F13:G13"/>
    <mergeCell ref="B9:H9"/>
    <mergeCell ref="B10:H10"/>
    <mergeCell ref="B11:H11"/>
    <mergeCell ref="B12:H12"/>
    <mergeCell ref="B552:F552"/>
    <mergeCell ref="C550:E550"/>
    <mergeCell ref="C551:E551"/>
    <mergeCell ref="B546:G546"/>
    <mergeCell ref="C547:E547"/>
    <mergeCell ref="C548:E548"/>
    <mergeCell ref="C549:E549"/>
    <mergeCell ref="B537:G537"/>
    <mergeCell ref="C538:D538"/>
    <mergeCell ref="C539:D539"/>
    <mergeCell ref="B527:F527"/>
    <mergeCell ref="E513:F513"/>
    <mergeCell ref="E514:F514"/>
    <mergeCell ref="B526:F526"/>
    <mergeCell ref="B522:F522"/>
    <mergeCell ref="B529:G529"/>
    <mergeCell ref="B528:E528"/>
    <mergeCell ref="E512:F512"/>
    <mergeCell ref="B535:E535"/>
    <mergeCell ref="B180:E180"/>
    <mergeCell ref="B226:G226"/>
    <mergeCell ref="C237:D237"/>
    <mergeCell ref="C236:D236"/>
    <mergeCell ref="C221:D221"/>
    <mergeCell ref="C235:D235"/>
    <mergeCell ref="C351:D351"/>
    <mergeCell ref="C353:D353"/>
    <mergeCell ref="C352:D352"/>
    <mergeCell ref="B258:G258"/>
    <mergeCell ref="C259:D259"/>
    <mergeCell ref="B218:G218"/>
    <mergeCell ref="C211:D211"/>
    <mergeCell ref="C212:D212"/>
    <mergeCell ref="C254:D254"/>
    <mergeCell ref="C239:D239"/>
    <mergeCell ref="B217:F217"/>
    <mergeCell ref="C220:D220"/>
    <mergeCell ref="C206:D206"/>
    <mergeCell ref="C348:D348"/>
    <mergeCell ref="B266:H266"/>
    <mergeCell ref="C243:D243"/>
    <mergeCell ref="C245:D245"/>
    <mergeCell ref="C249:D249"/>
    <mergeCell ref="B232:G232"/>
    <mergeCell ref="C242:D242"/>
    <mergeCell ref="C238:D238"/>
    <mergeCell ref="C253:D253"/>
    <mergeCell ref="C150:E150"/>
    <mergeCell ref="B155:F155"/>
    <mergeCell ref="C140:E140"/>
    <mergeCell ref="E511:F511"/>
    <mergeCell ref="C349:D349"/>
    <mergeCell ref="C350:D350"/>
    <mergeCell ref="C354:D354"/>
    <mergeCell ref="B193:F193"/>
    <mergeCell ref="C203:D203"/>
    <mergeCell ref="B355:F355"/>
    <mergeCell ref="C138:E138"/>
    <mergeCell ref="C145:E145"/>
    <mergeCell ref="C148:E148"/>
    <mergeCell ref="C149:E149"/>
    <mergeCell ref="C146:E146"/>
    <mergeCell ref="C143:E143"/>
    <mergeCell ref="C147:E147"/>
    <mergeCell ref="B42:F42"/>
    <mergeCell ref="B19:G19"/>
    <mergeCell ref="C86:D86"/>
    <mergeCell ref="C205:D205"/>
    <mergeCell ref="C124:E124"/>
    <mergeCell ref="C126:E126"/>
    <mergeCell ref="C191:D191"/>
    <mergeCell ref="C154:E154"/>
    <mergeCell ref="C141:E141"/>
    <mergeCell ref="C167:E167"/>
    <mergeCell ref="C207:D207"/>
    <mergeCell ref="C208:D208"/>
    <mergeCell ref="C209:D209"/>
    <mergeCell ref="C210:D210"/>
    <mergeCell ref="B181:G181"/>
    <mergeCell ref="B156:E156"/>
    <mergeCell ref="B157:G157"/>
    <mergeCell ref="C159:D159"/>
    <mergeCell ref="B165:G165"/>
    <mergeCell ref="C161:D161"/>
  </mergeCells>
  <printOptions/>
  <pageMargins left="0.1968503937007874" right="0.1968503937007874" top="0.3937007874015748" bottom="0.1968503937007874" header="0.31496062992125984" footer="0.31496062992125984"/>
  <pageSetup fitToHeight="0" fitToWidth="1" horizontalDpi="600" verticalDpi="600" orientation="portrait" paperSize="9" scale="75" r:id="rId1"/>
  <rowBreaks count="5" manualBreakCount="5">
    <brk id="96" max="7" man="1"/>
    <brk id="264" max="255" man="1"/>
    <brk id="299" max="255" man="1"/>
    <brk id="457" max="255" man="1"/>
    <brk id="5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2019-04-06T17:12:18Z</cp:lastPrinted>
  <dcterms:created xsi:type="dcterms:W3CDTF">2006-09-16T00:00:00Z</dcterms:created>
  <dcterms:modified xsi:type="dcterms:W3CDTF">2024-01-10T10:17:24Z</dcterms:modified>
  <cp:category/>
  <cp:version/>
  <cp:contentType/>
  <cp:contentStatus/>
</cp:coreProperties>
</file>